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24226"/>
  <mc:AlternateContent xmlns:mc="http://schemas.openxmlformats.org/markup-compatibility/2006">
    <mc:Choice Requires="x15">
      <x15ac:absPath xmlns:x15ac="http://schemas.microsoft.com/office/spreadsheetml/2010/11/ac" url="C:\Users\me\Documents\Erfa\"/>
    </mc:Choice>
  </mc:AlternateContent>
  <xr:revisionPtr revIDLastSave="0" documentId="8_{9D48C3D2-5CE2-418D-AEA0-CBF3BB015682}" xr6:coauthVersionLast="37" xr6:coauthVersionMax="37" xr10:uidLastSave="{00000000-0000-0000-0000-000000000000}"/>
  <bookViews>
    <workbookView xWindow="0" yWindow="0" windowWidth="19425" windowHeight="7740" activeTab="1" xr2:uid="{00000000-000D-0000-FFFF-FFFF00000000}"/>
  </bookViews>
  <sheets>
    <sheet name="KM beregning" sheetId="4" r:id="rId1"/>
    <sheet name="Afgiftsberegning NY AFG" sheetId="1" r:id="rId2"/>
    <sheet name="Ark2" sheetId="2" state="hidden" r:id="rId3"/>
  </sheets>
  <externalReferences>
    <externalReference r:id="rId4"/>
  </externalReferences>
  <definedNames>
    <definedName name="Air">'Ark2'!$D$1:$D$6</definedName>
    <definedName name="Antal">[1]Ark2!$F$1:$F$11</definedName>
    <definedName name="Antal1">'Ark2'!$G$1:$G$6</definedName>
    <definedName name="Brand">'Ark2'!$A$1:$A$2</definedName>
    <definedName name="Brænd">[1]Ark2!$B$1:$B$3</definedName>
    <definedName name="Import">'Ark2'!$C$1:$C$2</definedName>
    <definedName name="Ja">'Ark2'!$J$1:$J$2</definedName>
    <definedName name="Sele">'Ark2'!$I$1:$I$4</definedName>
    <definedName name="aa">'Ark2'!$G$1:$G$7</definedName>
  </definedNames>
  <calcPr calcId="179021"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1" i="4" l="1"/>
  <c r="E5" i="4"/>
  <c r="I11" i="4"/>
  <c r="G11" i="1"/>
  <c r="G12" i="1"/>
  <c r="G13" i="1"/>
  <c r="G15" i="1"/>
  <c r="G16" i="1"/>
  <c r="G17" i="1"/>
  <c r="G14" i="1"/>
  <c r="G18" i="1"/>
  <c r="G5" i="1"/>
  <c r="G6" i="1"/>
  <c r="G7" i="1"/>
  <c r="G8" i="1"/>
  <c r="G23" i="1"/>
  <c r="G24" i="1"/>
  <c r="F24" i="1"/>
  <c r="B22" i="1"/>
  <c r="B21" i="1"/>
  <c r="C19" i="1"/>
  <c r="C22" i="1"/>
  <c r="C23" i="1"/>
  <c r="C25" i="1"/>
  <c r="F10" i="4"/>
  <c r="E10" i="4"/>
  <c r="E95" i="4"/>
  <c r="E94" i="4"/>
  <c r="K95" i="4"/>
  <c r="E6" i="4"/>
  <c r="E93" i="4"/>
  <c r="K99" i="4"/>
  <c r="J110" i="4"/>
  <c r="K110" i="4"/>
  <c r="N98" i="4"/>
  <c r="N109" i="4"/>
  <c r="N110" i="4"/>
  <c r="N111" i="4"/>
  <c r="O111" i="4"/>
  <c r="P111" i="4"/>
  <c r="F94" i="4"/>
  <c r="K94" i="4"/>
  <c r="K98" i="4"/>
  <c r="J109" i="4"/>
  <c r="K109" i="4"/>
  <c r="N108" i="4"/>
  <c r="N103" i="4"/>
  <c r="N104" i="4"/>
  <c r="N105" i="4"/>
  <c r="O105" i="4"/>
  <c r="P105" i="4"/>
  <c r="N102" i="4"/>
  <c r="H94" i="4"/>
  <c r="H96" i="4"/>
  <c r="F96" i="4"/>
  <c r="H95" i="4"/>
  <c r="F95" i="4"/>
  <c r="N94" i="4"/>
  <c r="P8" i="4"/>
  <c r="Q75" i="4"/>
  <c r="P79" i="4"/>
  <c r="Q79" i="4"/>
  <c r="T75" i="4"/>
  <c r="T86" i="4"/>
  <c r="T87" i="4"/>
  <c r="T88" i="4"/>
  <c r="U88" i="4"/>
  <c r="V88" i="4"/>
  <c r="T85" i="4"/>
  <c r="H7" i="4"/>
  <c r="P70" i="4"/>
  <c r="P75" i="4"/>
  <c r="P78" i="4"/>
  <c r="Q78" i="4"/>
  <c r="T80" i="4"/>
  <c r="T81" i="4"/>
  <c r="T82" i="4"/>
  <c r="U82" i="4"/>
  <c r="V82" i="4"/>
  <c r="T79" i="4"/>
  <c r="P71" i="4"/>
  <c r="T70" i="4"/>
  <c r="Q54" i="4"/>
  <c r="P58" i="4"/>
  <c r="Q58" i="4"/>
  <c r="T54" i="4"/>
  <c r="T65" i="4"/>
  <c r="T66" i="4"/>
  <c r="T67" i="4"/>
  <c r="U67" i="4"/>
  <c r="V67" i="4"/>
  <c r="T64" i="4"/>
  <c r="P49" i="4"/>
  <c r="P54" i="4"/>
  <c r="P57" i="4"/>
  <c r="Q57" i="4"/>
  <c r="T59" i="4"/>
  <c r="T60" i="4"/>
  <c r="T61" i="4"/>
  <c r="U61" i="4"/>
  <c r="V61" i="4"/>
  <c r="T58" i="4"/>
  <c r="P50" i="4"/>
  <c r="T49" i="4"/>
  <c r="Q35" i="4"/>
  <c r="P39" i="4"/>
  <c r="Q39" i="4"/>
  <c r="T35" i="4"/>
  <c r="T44" i="4"/>
  <c r="T45" i="4"/>
  <c r="T46" i="4"/>
  <c r="U46" i="4"/>
  <c r="V46" i="4"/>
  <c r="P30" i="4"/>
  <c r="P35" i="4"/>
  <c r="P38" i="4"/>
  <c r="Q38" i="4"/>
  <c r="T40" i="4"/>
  <c r="T41" i="4"/>
  <c r="T42" i="4"/>
  <c r="U42" i="4"/>
  <c r="V42" i="4"/>
  <c r="T39" i="4"/>
  <c r="P31" i="4"/>
  <c r="T30" i="4"/>
  <c r="Q15" i="4"/>
  <c r="P20" i="4"/>
  <c r="Q20" i="4"/>
  <c r="T15" i="4"/>
  <c r="T25" i="4"/>
  <c r="T26" i="4"/>
  <c r="T27" i="4"/>
  <c r="U27" i="4"/>
  <c r="V27" i="4"/>
  <c r="T24" i="4"/>
  <c r="P7" i="4"/>
  <c r="P15" i="4"/>
  <c r="P19" i="4"/>
  <c r="Q19" i="4"/>
  <c r="T21" i="4"/>
  <c r="T22" i="4"/>
  <c r="T23" i="4"/>
  <c r="U23" i="4"/>
  <c r="V23" i="4"/>
  <c r="T20" i="4"/>
  <c r="I16" i="4"/>
  <c r="L3" i="4"/>
  <c r="M3" i="4"/>
  <c r="H6" i="4"/>
  <c r="I17" i="4"/>
  <c r="I15" i="4"/>
  <c r="I18" i="4"/>
  <c r="I19" i="4"/>
  <c r="I20" i="4"/>
  <c r="H16" i="4"/>
  <c r="H17" i="4"/>
  <c r="H15" i="4"/>
  <c r="H18" i="4"/>
  <c r="H19" i="4"/>
  <c r="H20" i="4"/>
  <c r="G16" i="4"/>
  <c r="G17" i="4"/>
  <c r="G15" i="4"/>
  <c r="G18" i="4"/>
  <c r="G19" i="4"/>
  <c r="G20" i="4"/>
  <c r="F16" i="4"/>
  <c r="F17" i="4"/>
  <c r="F15" i="4"/>
  <c r="F18" i="4"/>
  <c r="F19" i="4"/>
  <c r="F20" i="4"/>
  <c r="E16" i="4"/>
  <c r="E17" i="4"/>
  <c r="E15" i="4"/>
  <c r="E18" i="4"/>
  <c r="E19" i="4"/>
  <c r="E20" i="4"/>
  <c r="I14" i="4"/>
  <c r="H14" i="4"/>
  <c r="G14" i="4"/>
  <c r="F14" i="4"/>
  <c r="E14" i="4"/>
  <c r="F11" i="4"/>
  <c r="E11" i="4"/>
  <c r="I8" i="4"/>
  <c r="H8" i="4"/>
  <c r="T7" i="4"/>
  <c r="I7" i="4"/>
  <c r="F14" i="1"/>
  <c r="F16" i="1"/>
  <c r="F17" i="1"/>
  <c r="G22" i="1"/>
  <c r="F15" i="1"/>
  <c r="B23" i="1"/>
  <c r="F5" i="1"/>
  <c r="F7" i="1"/>
  <c r="F6" i="1"/>
  <c r="F8" i="1"/>
  <c r="F13" i="1"/>
  <c r="F12" i="1"/>
  <c r="F11" i="1"/>
  <c r="B25" i="1"/>
  <c r="F18" i="1"/>
  <c r="C20" i="1"/>
  <c r="C21" i="1"/>
  <c r="B28" i="1"/>
  <c r="B29" i="1"/>
  <c r="C28" i="1"/>
  <c r="C29" i="1"/>
  <c r="B30" i="1"/>
  <c r="B26" i="1"/>
</calcChain>
</file>

<file path=xl/sharedStrings.xml><?xml version="1.0" encoding="utf-8"?>
<sst xmlns="http://schemas.openxmlformats.org/spreadsheetml/2006/main" count="135" uniqueCount="110">
  <si>
    <t>Beregning af registreringsafgift og afgiftspligtig værdi</t>
  </si>
  <si>
    <t>Oprindelig nypris inkl. moms og afgifter</t>
  </si>
  <si>
    <t>Ny</t>
  </si>
  <si>
    <t>Brugt</t>
  </si>
  <si>
    <t>Fradrag/tillæg i afgiften</t>
  </si>
  <si>
    <t>Selealarm-fradrag</t>
  </si>
  <si>
    <t>Fradrag/tillæg i værdi</t>
  </si>
  <si>
    <t>Integrerede børnesæder</t>
  </si>
  <si>
    <t>Samlet registreringsafgift</t>
  </si>
  <si>
    <t>Ja</t>
  </si>
  <si>
    <t>Total</t>
  </si>
  <si>
    <t>Indtast</t>
  </si>
  <si>
    <t xml:space="preserve">Brændstof-fradrag - Benzin </t>
  </si>
  <si>
    <t>Brændstof-fradrag - Diesel</t>
  </si>
  <si>
    <t>Airbags- fradrag</t>
  </si>
  <si>
    <t>Airbags- tillæg</t>
  </si>
  <si>
    <t>Handelspris</t>
  </si>
  <si>
    <t>Driftkraft</t>
  </si>
  <si>
    <t>Diesel</t>
  </si>
  <si>
    <t>Antal integrerede barnesæder</t>
  </si>
  <si>
    <t>ABS</t>
  </si>
  <si>
    <t>ESP</t>
  </si>
  <si>
    <t>EURO NCAP - 5 Stjerner</t>
  </si>
  <si>
    <t>Radioanlæg</t>
  </si>
  <si>
    <t>Benzin</t>
  </si>
  <si>
    <t>Registreringsafgift</t>
  </si>
  <si>
    <t>Afgiftspligtig værdi</t>
  </si>
  <si>
    <t>Nej</t>
  </si>
  <si>
    <t>Anmeldelsesårsag</t>
  </si>
  <si>
    <t>Eksport</t>
  </si>
  <si>
    <t>Import</t>
  </si>
  <si>
    <t>Maks 6</t>
  </si>
  <si>
    <t>Maks 3</t>
  </si>
  <si>
    <t>Toldsyn</t>
  </si>
  <si>
    <t xml:space="preserve">Eksport-fradrag 15 procent </t>
  </si>
  <si>
    <t>Eksportgodtgørelse</t>
  </si>
  <si>
    <t>Antal airbags</t>
  </si>
  <si>
    <t>Skalaknæk ny</t>
  </si>
  <si>
    <t>Skalaknæk brugt</t>
  </si>
  <si>
    <t>Før afgiftsnedsættelse</t>
  </si>
  <si>
    <t>Efter afgiftsnedsættelse</t>
  </si>
  <si>
    <t>Antal selealarmer</t>
  </si>
  <si>
    <t>Brændstofsforbrug (km/L)</t>
  </si>
  <si>
    <t>Endelig afgift (import)</t>
  </si>
  <si>
    <t>Frafalder 1. januar 2017</t>
  </si>
  <si>
    <t>Anmeldelsesår</t>
  </si>
  <si>
    <t>Forskel import (estimat for tilbagebetalingskrav)</t>
  </si>
  <si>
    <t>Forskel eksport (estimat for tilbagebetalingskrav)</t>
  </si>
  <si>
    <t>Korrigeret nypris (OBS! Blot til mellemregning, må ikke anvendes!)</t>
  </si>
  <si>
    <t>Korrigeret handelspris (OBS! Blot til mellemregning, må ikke anvendes!)</t>
  </si>
  <si>
    <t>Km beregning</t>
  </si>
  <si>
    <t>Bilinfopris</t>
  </si>
  <si>
    <t>Ann.fradrag 5%</t>
  </si>
  <si>
    <t>3% -</t>
  </si>
  <si>
    <t>klargøring</t>
  </si>
  <si>
    <t>"0-1</t>
  </si>
  <si>
    <t>Norm km.</t>
  </si>
  <si>
    <t>km.</t>
  </si>
  <si>
    <t>Kørte km.</t>
  </si>
  <si>
    <t>EUR købspris</t>
  </si>
  <si>
    <t>DK købspris</t>
  </si>
  <si>
    <t>Reg.afg.</t>
  </si>
  <si>
    <t>DK-pris m/moms</t>
  </si>
  <si>
    <t>" 0-1 år</t>
  </si>
  <si>
    <t>" 1-2 år</t>
  </si>
  <si>
    <t>" 2-3 år</t>
  </si>
  <si>
    <t>" 3-9 år</t>
  </si>
  <si>
    <t>" o/ 10 år</t>
  </si>
  <si>
    <t>Tillægges handelspris incl. Afgift</t>
  </si>
  <si>
    <t>Fradrages handelspris incl. Afgift</t>
  </si>
  <si>
    <t>3% klargøring</t>
  </si>
  <si>
    <t>Handelspris til regnemaskine</t>
  </si>
  <si>
    <t>Afrund</t>
  </si>
  <si>
    <t>U/middel, fradrag 5%, max tkr.12</t>
  </si>
  <si>
    <t>Handelspris til regnemaskine, hvis U/M</t>
  </si>
  <si>
    <t>Alder</t>
  </si>
  <si>
    <t>benzin</t>
  </si>
  <si>
    <t>diesel</t>
  </si>
  <si>
    <t xml:space="preserve">Diesel værdierne </t>
  </si>
  <si>
    <t>0-1</t>
  </si>
  <si>
    <t xml:space="preserve">gælder samtlige </t>
  </si>
  <si>
    <t>1*2</t>
  </si>
  <si>
    <t>varevogne</t>
  </si>
  <si>
    <t>2*3</t>
  </si>
  <si>
    <t>3*4</t>
  </si>
  <si>
    <t>"1-2</t>
  </si>
  <si>
    <t>4*5</t>
  </si>
  <si>
    <t>5*6</t>
  </si>
  <si>
    <t>6*7</t>
  </si>
  <si>
    <t>7*8</t>
  </si>
  <si>
    <t>8*9</t>
  </si>
  <si>
    <t>9*10</t>
  </si>
  <si>
    <t>10*11</t>
  </si>
  <si>
    <t>11*12</t>
  </si>
  <si>
    <t>12*13</t>
  </si>
  <si>
    <t>13*14</t>
  </si>
  <si>
    <t>14*15</t>
  </si>
  <si>
    <t>15*16</t>
  </si>
  <si>
    <t>16*17</t>
  </si>
  <si>
    <t>26/2-2011 Brian Lindevall</t>
  </si>
  <si>
    <t>"2-3</t>
  </si>
  <si>
    <t>"3-9</t>
  </si>
  <si>
    <t xml:space="preserve"> </t>
  </si>
  <si>
    <t>UNDER 1 ÅR</t>
  </si>
  <si>
    <t>OVER 1 ÅR</t>
  </si>
  <si>
    <t>OVER 2 ÅR</t>
  </si>
  <si>
    <t>OVER 3 ÅR</t>
  </si>
  <si>
    <t>EUR</t>
  </si>
  <si>
    <t>DK-pris</t>
  </si>
  <si>
    <t>DKR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</si>
</sst>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quot;kr.&quot;;\-#,##0\ &quot;kr.&quot;"/>
    <numFmt numFmtId="165" formatCode="#,##0.000000"/>
    <numFmt numFmtId="166" formatCode="#,##0\ &quot;kr.&quot;"/>
    <numFmt numFmtId="167" formatCode="_ * #,##0_ ;_ * \-#,##0_ ;_ * &quot;-&quot;??_ ;_ @_ "/>
  </numFmts>
  <fonts count="17" x14ac:knownFonts="1">
    <font>
      <sz val="11"/>
      <color theme="1"/>
      <name val="Calibri"/>
      <family val="2"/>
      <scheme val="minor"/>
    </font>
    <font>
      <b/>
      <sz val="11"/>
      <color theme="1"/>
      <name val="Calibri"/>
      <family val="2"/>
      <scheme val="minor"/>
    </font>
    <font>
      <sz val="7.5"/>
      <color theme="1"/>
      <name val="Calibri"/>
      <family val="2"/>
      <scheme val="minor"/>
    </font>
    <font>
      <b/>
      <sz val="10"/>
      <color rgb="FF000000"/>
      <name val="Arial"/>
      <family val="2"/>
    </font>
    <font>
      <sz val="10"/>
      <color theme="1"/>
      <name val="Arial"/>
      <family val="2"/>
    </font>
    <font>
      <b/>
      <sz val="10"/>
      <color theme="1"/>
      <name val="Arial"/>
      <family val="2"/>
    </font>
    <font>
      <b/>
      <sz val="11"/>
      <name val="Calibri"/>
      <family val="2"/>
      <scheme val="minor"/>
    </font>
    <font>
      <sz val="11"/>
      <color theme="1"/>
      <name val="Calibri"/>
      <family val="2"/>
      <scheme val="minor"/>
    </font>
    <font>
      <b/>
      <sz val="14"/>
      <color theme="1"/>
      <name val="Calibri"/>
      <family val="2"/>
      <scheme val="minor"/>
    </font>
    <font>
      <sz val="12"/>
      <name val="Times New Roman"/>
      <family val="1"/>
    </font>
    <font>
      <sz val="12"/>
      <color indexed="55"/>
      <name val="Times New Roman"/>
      <family val="1"/>
    </font>
    <font>
      <b/>
      <sz val="12"/>
      <color indexed="55"/>
      <name val="Times New Roman"/>
      <family val="1"/>
    </font>
    <font>
      <b/>
      <sz val="12"/>
      <name val="Times New Roman"/>
      <family val="1"/>
    </font>
    <font>
      <sz val="12"/>
      <color indexed="9"/>
      <name val="Times New Roman"/>
      <family val="1"/>
    </font>
    <font>
      <sz val="10"/>
      <name val="Times New Roman"/>
      <family val="1"/>
    </font>
    <font>
      <sz val="6"/>
      <name val="Times New Roman"/>
      <family val="1"/>
    </font>
    <font>
      <sz val="12"/>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indexed="55"/>
        <bgColor indexed="64"/>
      </patternFill>
    </fill>
    <fill>
      <patternFill patternType="solid">
        <fgColor theme="0"/>
        <bgColor indexed="64"/>
      </patternFill>
    </fill>
  </fills>
  <borders count="21">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style="medium">
        <color auto="1"/>
      </right>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double">
        <color auto="1"/>
      </bottom>
      <diagonal/>
    </border>
    <border>
      <left style="medium">
        <color auto="1"/>
      </left>
      <right style="medium">
        <color auto="1"/>
      </right>
      <top style="medium">
        <color auto="1"/>
      </top>
      <bottom style="double">
        <color auto="1"/>
      </bottom>
      <diagonal/>
    </border>
    <border>
      <left/>
      <right style="medium">
        <color auto="1"/>
      </right>
      <top style="medium">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thin">
        <color auto="1"/>
      </top>
      <bottom/>
      <diagonal/>
    </border>
  </borders>
  <cellStyleXfs count="3">
    <xf numFmtId="0" fontId="0" fillId="0" borderId="0"/>
    <xf numFmtId="43" fontId="7" fillId="0" borderId="0" applyFont="0" applyFill="0" applyBorder="0" applyAlignment="0" applyProtection="0"/>
    <xf numFmtId="43" fontId="7" fillId="0" borderId="0" applyFont="0" applyFill="0" applyBorder="0" applyAlignment="0" applyProtection="0"/>
  </cellStyleXfs>
  <cellXfs count="139">
    <xf numFmtId="0" fontId="0" fillId="0" borderId="0" xfId="0"/>
    <xf numFmtId="0" fontId="4" fillId="2" borderId="2" xfId="0" applyFont="1" applyFill="1" applyBorder="1" applyAlignment="1" applyProtection="1">
      <alignment horizontal="right"/>
      <protection locked="0"/>
    </xf>
    <xf numFmtId="0" fontId="4" fillId="2" borderId="2" xfId="0" quotePrefix="1" applyFont="1" applyFill="1" applyBorder="1" applyAlignment="1" applyProtection="1">
      <alignment horizontal="right"/>
      <protection locked="0"/>
    </xf>
    <xf numFmtId="164" fontId="0" fillId="2" borderId="2" xfId="1" applyNumberFormat="1" applyFont="1" applyFill="1" applyBorder="1" applyProtection="1">
      <protection locked="0"/>
    </xf>
    <xf numFmtId="0" fontId="0" fillId="0" borderId="0" xfId="0" applyBorder="1" applyAlignment="1" applyProtection="1">
      <protection locked="0"/>
    </xf>
    <xf numFmtId="0" fontId="0" fillId="0" borderId="0" xfId="0" applyAlignment="1" applyProtection="1">
      <protection locked="0"/>
    </xf>
    <xf numFmtId="0" fontId="1" fillId="0" borderId="0" xfId="0" applyFont="1" applyAlignment="1" applyProtection="1">
      <alignment vertical="top"/>
      <protection locked="0"/>
    </xf>
    <xf numFmtId="4" fontId="1" fillId="0" borderId="0" xfId="0" applyNumberFormat="1" applyFont="1" applyAlignment="1" applyProtection="1">
      <alignment vertical="top"/>
      <protection locked="0"/>
    </xf>
    <xf numFmtId="0" fontId="0" fillId="0" borderId="0" xfId="0" applyAlignment="1" applyProtection="1">
      <alignment vertical="top"/>
      <protection locked="0"/>
    </xf>
    <xf numFmtId="4" fontId="0" fillId="0" borderId="0" xfId="0" applyNumberFormat="1" applyAlignment="1" applyProtection="1">
      <alignment vertical="top"/>
      <protection locked="0"/>
    </xf>
    <xf numFmtId="0" fontId="0" fillId="2" borderId="2" xfId="0" applyFill="1" applyBorder="1" applyAlignment="1" applyProtection="1">
      <alignment vertical="top"/>
      <protection locked="0"/>
    </xf>
    <xf numFmtId="4" fontId="1" fillId="0" borderId="1" xfId="0" applyNumberFormat="1" applyFont="1" applyBorder="1" applyAlignment="1" applyProtection="1">
      <alignment horizontal="left" vertical="top"/>
      <protection locked="0"/>
    </xf>
    <xf numFmtId="4" fontId="0" fillId="0" borderId="0" xfId="0" applyNumberFormat="1" applyAlignment="1" applyProtection="1">
      <protection locked="0"/>
    </xf>
    <xf numFmtId="166" fontId="0" fillId="0" borderId="0" xfId="0" applyNumberFormat="1" applyBorder="1" applyAlignment="1" applyProtection="1">
      <protection locked="0"/>
    </xf>
    <xf numFmtId="164" fontId="0" fillId="0" borderId="0" xfId="0" applyNumberFormat="1" applyAlignment="1" applyProtection="1">
      <protection locked="0"/>
    </xf>
    <xf numFmtId="165" fontId="0" fillId="0" borderId="0" xfId="0" applyNumberFormat="1" applyAlignment="1" applyProtection="1">
      <alignment vertical="top"/>
      <protection locked="0"/>
    </xf>
    <xf numFmtId="0" fontId="0" fillId="0" borderId="0" xfId="0" applyFill="1" applyBorder="1" applyAlignment="1" applyProtection="1">
      <protection locked="0"/>
    </xf>
    <xf numFmtId="4" fontId="1" fillId="0" borderId="0" xfId="0" applyNumberFormat="1" applyFont="1" applyBorder="1" applyAlignment="1" applyProtection="1">
      <alignment vertical="top"/>
      <protection locked="0"/>
    </xf>
    <xf numFmtId="0" fontId="1" fillId="0" borderId="0" xfId="0" applyFont="1" applyBorder="1" applyAlignment="1" applyProtection="1">
      <alignment vertical="top"/>
      <protection locked="0"/>
    </xf>
    <xf numFmtId="3" fontId="1" fillId="0" borderId="0" xfId="0" applyNumberFormat="1" applyFont="1" applyBorder="1" applyAlignment="1" applyProtection="1">
      <alignment horizontal="right" vertical="top"/>
      <protection locked="0"/>
    </xf>
    <xf numFmtId="0" fontId="0" fillId="0" borderId="0" xfId="0" applyBorder="1" applyAlignment="1" applyProtection="1">
      <alignment vertical="top"/>
      <protection locked="0"/>
    </xf>
    <xf numFmtId="3" fontId="0" fillId="0" borderId="0" xfId="0" applyNumberFormat="1" applyBorder="1" applyAlignment="1" applyProtection="1">
      <alignment horizontal="right" vertical="top"/>
      <protection locked="0"/>
    </xf>
    <xf numFmtId="4" fontId="1" fillId="0" borderId="0" xfId="0" applyNumberFormat="1" applyFont="1" applyBorder="1" applyAlignment="1" applyProtection="1">
      <protection locked="0"/>
    </xf>
    <xf numFmtId="3" fontId="0" fillId="0" borderId="0" xfId="0" applyNumberFormat="1" applyBorder="1" applyAlignment="1" applyProtection="1">
      <protection locked="0"/>
    </xf>
    <xf numFmtId="4" fontId="2" fillId="0" borderId="0" xfId="0" applyNumberFormat="1" applyFont="1" applyBorder="1" applyAlignment="1" applyProtection="1">
      <alignment vertical="top"/>
      <protection locked="0"/>
    </xf>
    <xf numFmtId="4" fontId="0" fillId="0" borderId="0" xfId="0" applyNumberFormat="1" applyBorder="1" applyAlignment="1" applyProtection="1">
      <protection locked="0"/>
    </xf>
    <xf numFmtId="0" fontId="1" fillId="0" borderId="0" xfId="0" applyFont="1" applyBorder="1" applyAlignment="1" applyProtection="1">
      <alignment horizontal="left" vertical="top"/>
      <protection locked="0"/>
    </xf>
    <xf numFmtId="9" fontId="0" fillId="0" borderId="0" xfId="0" applyNumberFormat="1" applyBorder="1" applyAlignment="1" applyProtection="1">
      <protection locked="0"/>
    </xf>
    <xf numFmtId="0" fontId="1" fillId="0" borderId="0" xfId="0" applyFont="1" applyBorder="1" applyAlignment="1" applyProtection="1">
      <protection locked="0"/>
    </xf>
    <xf numFmtId="3" fontId="0" fillId="0" borderId="0" xfId="0" applyNumberFormat="1" applyAlignment="1" applyProtection="1">
      <protection locked="0"/>
    </xf>
    <xf numFmtId="0" fontId="1" fillId="0" borderId="2" xfId="0" applyFont="1" applyBorder="1" applyAlignment="1" applyProtection="1">
      <alignment vertical="top"/>
      <protection hidden="1"/>
    </xf>
    <xf numFmtId="4" fontId="1" fillId="0" borderId="2" xfId="0" quotePrefix="1" applyNumberFormat="1" applyFont="1" applyBorder="1" applyAlignment="1" applyProtection="1">
      <alignment horizontal="right" vertical="top"/>
      <protection hidden="1"/>
    </xf>
    <xf numFmtId="0" fontId="1" fillId="0" borderId="2" xfId="0" quotePrefix="1" applyFont="1" applyBorder="1" applyAlignment="1" applyProtection="1">
      <protection hidden="1"/>
    </xf>
    <xf numFmtId="166" fontId="0" fillId="0" borderId="2" xfId="0" applyNumberFormat="1" applyBorder="1" applyAlignment="1" applyProtection="1">
      <protection hidden="1"/>
    </xf>
    <xf numFmtId="0" fontId="1" fillId="0" borderId="2" xfId="0" applyFont="1" applyBorder="1" applyAlignment="1" applyProtection="1">
      <protection hidden="1"/>
    </xf>
    <xf numFmtId="4" fontId="1" fillId="0" borderId="2" xfId="0" applyNumberFormat="1" applyFont="1" applyBorder="1" applyAlignment="1" applyProtection="1">
      <protection hidden="1"/>
    </xf>
    <xf numFmtId="4" fontId="1" fillId="0" borderId="2" xfId="0" quotePrefix="1" applyNumberFormat="1" applyFont="1" applyBorder="1" applyAlignment="1" applyProtection="1">
      <alignment horizontal="left"/>
      <protection hidden="1"/>
    </xf>
    <xf numFmtId="4" fontId="1" fillId="0" borderId="2" xfId="0" applyNumberFormat="1" applyFont="1" applyBorder="1" applyAlignment="1" applyProtection="1">
      <alignment horizontal="right" vertical="top"/>
      <protection hidden="1"/>
    </xf>
    <xf numFmtId="0" fontId="1" fillId="0" borderId="2" xfId="0" applyFont="1" applyBorder="1" applyAlignment="1" applyProtection="1">
      <alignment horizontal="left" vertical="top"/>
      <protection hidden="1"/>
    </xf>
    <xf numFmtId="166" fontId="0" fillId="0" borderId="2" xfId="0" applyNumberFormat="1" applyFill="1" applyBorder="1" applyAlignment="1" applyProtection="1">
      <protection hidden="1"/>
    </xf>
    <xf numFmtId="166" fontId="0" fillId="0" borderId="2" xfId="0" applyNumberFormat="1" applyBorder="1" applyAlignment="1" applyProtection="1">
      <alignment horizontal="right" vertical="top"/>
      <protection hidden="1"/>
    </xf>
    <xf numFmtId="166" fontId="1" fillId="0" borderId="2" xfId="0" applyNumberFormat="1" applyFont="1" applyBorder="1" applyAlignment="1" applyProtection="1">
      <alignment vertical="top"/>
      <protection hidden="1"/>
    </xf>
    <xf numFmtId="0" fontId="5" fillId="0" borderId="2" xfId="0" applyFont="1" applyBorder="1" applyProtection="1">
      <protection hidden="1"/>
    </xf>
    <xf numFmtId="0" fontId="5" fillId="0" borderId="2" xfId="0" applyFont="1" applyFill="1" applyBorder="1" applyProtection="1">
      <protection hidden="1"/>
    </xf>
    <xf numFmtId="0" fontId="1" fillId="0" borderId="2" xfId="0" applyFont="1" applyFill="1" applyBorder="1" applyAlignment="1" applyProtection="1">
      <alignment horizontal="left" vertical="top"/>
      <protection hidden="1"/>
    </xf>
    <xf numFmtId="0" fontId="3" fillId="0" borderId="2" xfId="0" applyFont="1" applyBorder="1" applyAlignment="1" applyProtection="1">
      <alignment horizontal="left" vertical="center" wrapText="1"/>
      <protection hidden="1"/>
    </xf>
    <xf numFmtId="166" fontId="1" fillId="0" borderId="2" xfId="0" applyNumberFormat="1" applyFont="1" applyBorder="1" applyAlignment="1" applyProtection="1">
      <protection hidden="1"/>
    </xf>
    <xf numFmtId="166" fontId="0" fillId="0" borderId="2" xfId="0" applyNumberFormat="1" applyFont="1" applyBorder="1" applyAlignment="1" applyProtection="1">
      <alignment horizontal="right" vertical="top"/>
      <protection hidden="1"/>
    </xf>
    <xf numFmtId="3" fontId="1" fillId="0" borderId="2" xfId="0" quotePrefix="1" applyNumberFormat="1" applyFont="1" applyBorder="1" applyAlignment="1" applyProtection="1">
      <alignment horizontal="left" vertical="top"/>
      <protection hidden="1"/>
    </xf>
    <xf numFmtId="0" fontId="1" fillId="0" borderId="2" xfId="0" applyFont="1" applyFill="1" applyBorder="1" applyAlignment="1" applyProtection="1">
      <alignment vertical="top"/>
      <protection hidden="1"/>
    </xf>
    <xf numFmtId="0" fontId="6" fillId="0" borderId="2" xfId="0" applyFont="1" applyBorder="1" applyProtection="1">
      <protection hidden="1"/>
    </xf>
    <xf numFmtId="0" fontId="5" fillId="0" borderId="2" xfId="0" quotePrefix="1" applyFont="1" applyBorder="1" applyAlignment="1" applyProtection="1">
      <alignment horizontal="left"/>
      <protection hidden="1"/>
    </xf>
    <xf numFmtId="0" fontId="8" fillId="0" borderId="0" xfId="0" applyFont="1" applyAlignment="1" applyProtection="1">
      <protection hidden="1"/>
    </xf>
    <xf numFmtId="0" fontId="1" fillId="2" borderId="0" xfId="0" applyFont="1" applyFill="1" applyAlignment="1" applyProtection="1">
      <alignment vertical="top"/>
      <protection hidden="1"/>
    </xf>
    <xf numFmtId="3" fontId="1" fillId="0" borderId="0" xfId="0" applyNumberFormat="1" applyFont="1" applyBorder="1" applyAlignment="1" applyProtection="1">
      <protection locked="0"/>
    </xf>
    <xf numFmtId="0" fontId="1" fillId="0" borderId="2" xfId="0" quotePrefix="1" applyFont="1" applyBorder="1" applyAlignment="1" applyProtection="1">
      <alignment horizontal="left" wrapText="1"/>
      <protection hidden="1"/>
    </xf>
    <xf numFmtId="0" fontId="1" fillId="0" borderId="0" xfId="0" applyFont="1" applyAlignment="1" applyProtection="1">
      <alignment wrapText="1"/>
      <protection hidden="1"/>
    </xf>
    <xf numFmtId="0" fontId="0" fillId="0" borderId="0" xfId="0" applyAlignment="1" applyProtection="1">
      <alignment wrapText="1"/>
      <protection hidden="1"/>
    </xf>
    <xf numFmtId="166" fontId="0" fillId="0" borderId="0" xfId="0" applyNumberFormat="1" applyAlignment="1" applyProtection="1">
      <alignment wrapText="1"/>
      <protection hidden="1"/>
    </xf>
    <xf numFmtId="4" fontId="0" fillId="0" borderId="0" xfId="0" applyNumberFormat="1" applyAlignment="1" applyProtection="1">
      <alignment wrapText="1"/>
      <protection locked="0"/>
    </xf>
    <xf numFmtId="0" fontId="0" fillId="0" borderId="0" xfId="0" applyBorder="1" applyAlignment="1" applyProtection="1">
      <alignment wrapText="1"/>
      <protection locked="0"/>
    </xf>
    <xf numFmtId="4" fontId="1" fillId="0" borderId="0" xfId="0" quotePrefix="1" applyNumberFormat="1" applyFont="1" applyBorder="1" applyAlignment="1" applyProtection="1">
      <alignment horizontal="right" vertical="top" wrapText="1"/>
      <protection locked="0"/>
    </xf>
    <xf numFmtId="0" fontId="0" fillId="0" borderId="0" xfId="0" applyAlignment="1" applyProtection="1">
      <alignment wrapText="1"/>
      <protection locked="0"/>
    </xf>
    <xf numFmtId="0" fontId="9" fillId="3" borderId="0" xfId="0" applyFont="1" applyFill="1" applyProtection="1"/>
    <xf numFmtId="1" fontId="9" fillId="3" borderId="0" xfId="0" applyNumberFormat="1" applyFont="1" applyFill="1" applyAlignment="1" applyProtection="1">
      <alignment horizontal="right"/>
    </xf>
    <xf numFmtId="0" fontId="9" fillId="3" borderId="0" xfId="0" applyFont="1" applyFill="1" applyAlignment="1" applyProtection="1">
      <alignment horizontal="center"/>
    </xf>
    <xf numFmtId="0" fontId="10" fillId="4" borderId="0" xfId="0" applyFont="1" applyFill="1" applyProtection="1"/>
    <xf numFmtId="0" fontId="11" fillId="4" borderId="0" xfId="0" applyFont="1" applyFill="1" applyProtection="1"/>
    <xf numFmtId="0" fontId="10" fillId="4" borderId="0" xfId="0" applyFont="1" applyFill="1" applyAlignment="1" applyProtection="1">
      <alignment horizontal="right"/>
    </xf>
    <xf numFmtId="3" fontId="10" fillId="4" borderId="0" xfId="0" applyNumberFormat="1" applyFont="1" applyFill="1" applyProtection="1"/>
    <xf numFmtId="0" fontId="12" fillId="3" borderId="0" xfId="0" applyFont="1" applyFill="1" applyProtection="1"/>
    <xf numFmtId="0" fontId="9" fillId="3" borderId="0" xfId="0" applyNumberFormat="1" applyFont="1" applyFill="1" applyAlignment="1" applyProtection="1">
      <alignment horizontal="center"/>
    </xf>
    <xf numFmtId="167" fontId="9" fillId="2" borderId="3" xfId="1" applyNumberFormat="1" applyFont="1" applyFill="1" applyBorder="1" applyProtection="1">
      <protection locked="0"/>
    </xf>
    <xf numFmtId="167" fontId="9" fillId="3" borderId="4" xfId="1" applyNumberFormat="1" applyFont="1" applyFill="1" applyBorder="1" applyProtection="1"/>
    <xf numFmtId="1" fontId="12" fillId="3" borderId="0" xfId="0" applyNumberFormat="1" applyFont="1" applyFill="1" applyAlignment="1" applyProtection="1">
      <alignment horizontal="right"/>
    </xf>
    <xf numFmtId="167" fontId="9" fillId="5" borderId="4" xfId="1" applyNumberFormat="1" applyFont="1" applyFill="1" applyBorder="1" applyProtection="1"/>
    <xf numFmtId="1" fontId="9" fillId="3" borderId="0" xfId="0" applyNumberFormat="1" applyFont="1" applyFill="1" applyAlignment="1" applyProtection="1">
      <alignment horizontal="left"/>
    </xf>
    <xf numFmtId="3" fontId="9" fillId="3" borderId="2" xfId="0" applyNumberFormat="1" applyFont="1" applyFill="1" applyBorder="1" applyAlignment="1" applyProtection="1">
      <alignment horizontal="right"/>
    </xf>
    <xf numFmtId="3" fontId="13" fillId="3" borderId="0" xfId="0" applyNumberFormat="1" applyFont="1" applyFill="1" applyAlignment="1" applyProtection="1">
      <alignment horizontal="right"/>
    </xf>
    <xf numFmtId="3" fontId="10" fillId="4" borderId="0" xfId="0" applyNumberFormat="1" applyFont="1" applyFill="1" applyAlignment="1" applyProtection="1">
      <alignment horizontal="right"/>
    </xf>
    <xf numFmtId="3" fontId="9" fillId="3" borderId="0" xfId="0" applyNumberFormat="1" applyFont="1" applyFill="1" applyAlignment="1" applyProtection="1">
      <alignment horizontal="left"/>
    </xf>
    <xf numFmtId="3" fontId="9" fillId="3" borderId="0" xfId="0" applyNumberFormat="1" applyFont="1" applyFill="1" applyAlignment="1" applyProtection="1">
      <alignment horizontal="right"/>
    </xf>
    <xf numFmtId="2" fontId="9" fillId="3" borderId="0" xfId="0" applyNumberFormat="1" applyFont="1" applyFill="1" applyProtection="1"/>
    <xf numFmtId="3" fontId="12" fillId="3" borderId="7" xfId="0" applyNumberFormat="1" applyFont="1" applyFill="1" applyBorder="1" applyAlignment="1" applyProtection="1">
      <alignment horizontal="center"/>
    </xf>
    <xf numFmtId="1" fontId="12" fillId="3" borderId="8" xfId="0" applyNumberFormat="1" applyFont="1" applyFill="1" applyBorder="1" applyAlignment="1" applyProtection="1">
      <alignment horizontal="center"/>
    </xf>
    <xf numFmtId="0" fontId="12" fillId="3" borderId="8" xfId="0" applyFont="1" applyFill="1" applyBorder="1" applyAlignment="1" applyProtection="1">
      <alignment horizontal="center"/>
    </xf>
    <xf numFmtId="0" fontId="12" fillId="3" borderId="9" xfId="0" applyFont="1" applyFill="1" applyBorder="1" applyProtection="1"/>
    <xf numFmtId="167" fontId="12" fillId="3" borderId="10" xfId="1" applyNumberFormat="1" applyFont="1" applyFill="1" applyBorder="1" applyProtection="1"/>
    <xf numFmtId="167" fontId="12" fillId="3" borderId="11" xfId="1" applyNumberFormat="1" applyFont="1" applyFill="1" applyBorder="1" applyProtection="1"/>
    <xf numFmtId="167" fontId="12" fillId="3" borderId="12" xfId="1" applyNumberFormat="1" applyFont="1" applyFill="1" applyBorder="1" applyProtection="1"/>
    <xf numFmtId="0" fontId="11" fillId="4" borderId="0" xfId="0" applyFont="1" applyFill="1" applyBorder="1" applyProtection="1"/>
    <xf numFmtId="167" fontId="12" fillId="3" borderId="10" xfId="1" applyNumberFormat="1" applyFont="1" applyFill="1" applyBorder="1" applyAlignment="1" applyProtection="1">
      <alignment horizontal="right"/>
    </xf>
    <xf numFmtId="167" fontId="12" fillId="3" borderId="11" xfId="1" applyNumberFormat="1" applyFont="1" applyFill="1" applyBorder="1" applyAlignment="1" applyProtection="1">
      <alignment horizontal="right"/>
    </xf>
    <xf numFmtId="167" fontId="12" fillId="3" borderId="12" xfId="1" applyNumberFormat="1" applyFont="1" applyFill="1" applyBorder="1" applyAlignment="1" applyProtection="1">
      <alignment horizontal="right"/>
    </xf>
    <xf numFmtId="0" fontId="11" fillId="4" borderId="0" xfId="0" applyFont="1" applyFill="1" applyAlignment="1" applyProtection="1">
      <alignment horizontal="center"/>
    </xf>
    <xf numFmtId="3" fontId="11" fillId="4" borderId="0" xfId="0" applyNumberFormat="1" applyFont="1" applyFill="1" applyAlignment="1" applyProtection="1">
      <alignment horizontal="right"/>
    </xf>
    <xf numFmtId="2" fontId="10" fillId="4" borderId="0" xfId="0" applyNumberFormat="1" applyFont="1" applyFill="1" applyProtection="1"/>
    <xf numFmtId="0" fontId="9" fillId="3" borderId="13" xfId="0" applyFont="1" applyFill="1" applyBorder="1" applyProtection="1"/>
    <xf numFmtId="0" fontId="12" fillId="3" borderId="14" xfId="0" applyFont="1" applyFill="1" applyBorder="1" applyProtection="1"/>
    <xf numFmtId="167" fontId="12" fillId="3" borderId="15" xfId="1" applyNumberFormat="1" applyFont="1" applyFill="1" applyBorder="1" applyProtection="1"/>
    <xf numFmtId="167" fontId="12" fillId="5" borderId="16" xfId="1" applyNumberFormat="1" applyFont="1" applyFill="1" applyBorder="1" applyProtection="1"/>
    <xf numFmtId="167" fontId="12" fillId="3" borderId="16" xfId="1" applyNumberFormat="1" applyFont="1" applyFill="1" applyBorder="1" applyProtection="1"/>
    <xf numFmtId="167" fontId="12" fillId="2" borderId="16" xfId="1" applyNumberFormat="1" applyFont="1" applyFill="1" applyBorder="1" applyProtection="1"/>
    <xf numFmtId="167" fontId="12" fillId="5" borderId="17" xfId="1" applyNumberFormat="1" applyFont="1" applyFill="1" applyBorder="1" applyProtection="1"/>
    <xf numFmtId="167" fontId="9" fillId="3" borderId="0" xfId="1" applyNumberFormat="1" applyFont="1" applyFill="1" applyProtection="1"/>
    <xf numFmtId="1" fontId="11" fillId="4" borderId="0" xfId="0" applyNumberFormat="1" applyFont="1" applyFill="1" applyAlignment="1" applyProtection="1">
      <alignment horizontal="right"/>
    </xf>
    <xf numFmtId="3" fontId="11" fillId="4" borderId="0" xfId="0" applyNumberFormat="1" applyFont="1" applyFill="1" applyProtection="1"/>
    <xf numFmtId="167" fontId="12" fillId="3" borderId="0" xfId="1" applyNumberFormat="1" applyFont="1" applyFill="1" applyAlignment="1" applyProtection="1">
      <alignment horizontal="right"/>
    </xf>
    <xf numFmtId="167" fontId="12" fillId="5" borderId="0" xfId="1" applyNumberFormat="1" applyFont="1" applyFill="1" applyAlignment="1" applyProtection="1">
      <alignment horizontal="right"/>
    </xf>
    <xf numFmtId="3" fontId="10" fillId="4" borderId="0" xfId="0" applyNumberFormat="1" applyFont="1" applyFill="1" applyBorder="1" applyProtection="1"/>
    <xf numFmtId="0" fontId="10" fillId="4" borderId="0" xfId="0" applyFont="1" applyFill="1" applyBorder="1" applyAlignment="1" applyProtection="1">
      <alignment horizontal="right"/>
    </xf>
    <xf numFmtId="0" fontId="10" fillId="4" borderId="0" xfId="0" applyFont="1" applyFill="1" applyBorder="1" applyProtection="1"/>
    <xf numFmtId="0" fontId="12" fillId="3" borderId="0" xfId="0" applyFont="1" applyFill="1" applyBorder="1" applyProtection="1"/>
    <xf numFmtId="0" fontId="9" fillId="3" borderId="0" xfId="0" applyFont="1" applyFill="1" applyBorder="1" applyProtection="1"/>
    <xf numFmtId="0" fontId="9" fillId="3" borderId="0" xfId="0" applyFont="1" applyFill="1" applyBorder="1" applyAlignment="1" applyProtection="1">
      <alignment horizontal="center"/>
    </xf>
    <xf numFmtId="0" fontId="9" fillId="3" borderId="0" xfId="0" applyFont="1" applyFill="1" applyAlignment="1" applyProtection="1">
      <alignment horizontal="right"/>
    </xf>
    <xf numFmtId="0" fontId="14" fillId="3" borderId="0" xfId="0" applyFont="1" applyFill="1" applyBorder="1" applyProtection="1"/>
    <xf numFmtId="0" fontId="9" fillId="3" borderId="0" xfId="0" applyFont="1" applyFill="1" applyBorder="1" applyAlignment="1" applyProtection="1">
      <alignment horizontal="right"/>
    </xf>
    <xf numFmtId="3" fontId="9" fillId="3" borderId="18" xfId="0" applyNumberFormat="1" applyFont="1" applyFill="1" applyBorder="1" applyProtection="1"/>
    <xf numFmtId="3" fontId="9" fillId="3" borderId="0" xfId="0" applyNumberFormat="1" applyFont="1" applyFill="1" applyBorder="1" applyProtection="1"/>
    <xf numFmtId="1" fontId="10" fillId="4" borderId="0" xfId="0" applyNumberFormat="1" applyFont="1" applyFill="1" applyAlignment="1" applyProtection="1">
      <alignment horizontal="right"/>
    </xf>
    <xf numFmtId="3" fontId="9" fillId="3" borderId="11" xfId="0" applyNumberFormat="1" applyFont="1" applyFill="1" applyBorder="1" applyProtection="1"/>
    <xf numFmtId="3" fontId="9" fillId="3" borderId="19" xfId="0" applyNumberFormat="1" applyFont="1" applyFill="1" applyBorder="1" applyProtection="1"/>
    <xf numFmtId="0" fontId="15" fillId="3" borderId="0" xfId="0" applyFont="1" applyFill="1" applyProtection="1"/>
    <xf numFmtId="0" fontId="9" fillId="3" borderId="0" xfId="0" quotePrefix="1" applyFont="1" applyFill="1" applyProtection="1"/>
    <xf numFmtId="0" fontId="10" fillId="4" borderId="0" xfId="0" quotePrefix="1" applyFont="1" applyFill="1" applyAlignment="1" applyProtection="1">
      <alignment horizontal="center"/>
    </xf>
    <xf numFmtId="0" fontId="10" fillId="4" borderId="0" xfId="0" applyFont="1" applyFill="1" applyAlignment="1" applyProtection="1">
      <alignment horizontal="center"/>
    </xf>
    <xf numFmtId="0" fontId="10" fillId="4" borderId="0" xfId="0" quotePrefix="1" applyFont="1" applyFill="1" applyProtection="1"/>
    <xf numFmtId="1" fontId="10" fillId="4" borderId="0" xfId="0" applyNumberFormat="1" applyFont="1" applyFill="1" applyAlignment="1" applyProtection="1">
      <alignment horizontal="left"/>
    </xf>
    <xf numFmtId="3" fontId="11" fillId="4" borderId="0" xfId="0" applyNumberFormat="1" applyFont="1" applyFill="1" applyBorder="1" applyProtection="1"/>
    <xf numFmtId="0" fontId="10" fillId="4" borderId="0" xfId="0" applyFont="1" applyFill="1" applyBorder="1" applyAlignment="1" applyProtection="1">
      <alignment horizontal="center"/>
    </xf>
    <xf numFmtId="1" fontId="11" fillId="4" borderId="0" xfId="0" applyNumberFormat="1" applyFont="1" applyFill="1" applyAlignment="1" applyProtection="1">
      <alignment horizontal="center"/>
    </xf>
    <xf numFmtId="166" fontId="0" fillId="2" borderId="2" xfId="0" applyNumberFormat="1" applyFill="1" applyBorder="1" applyAlignment="1" applyProtection="1">
      <protection hidden="1"/>
    </xf>
    <xf numFmtId="167" fontId="16" fillId="2" borderId="5" xfId="1" applyNumberFormat="1" applyFont="1" applyFill="1" applyBorder="1" applyAlignment="1" applyProtection="1">
      <alignment horizontal="right"/>
      <protection hidden="1"/>
    </xf>
    <xf numFmtId="167" fontId="9" fillId="0" borderId="6" xfId="1" applyNumberFormat="1" applyFont="1" applyFill="1" applyBorder="1" applyProtection="1"/>
    <xf numFmtId="167" fontId="9" fillId="3" borderId="6" xfId="1" applyNumberFormat="1" applyFont="1" applyFill="1" applyBorder="1" applyAlignment="1" applyProtection="1">
      <alignment horizontal="right"/>
    </xf>
    <xf numFmtId="167" fontId="9" fillId="2" borderId="4" xfId="1" applyNumberFormat="1" applyFont="1" applyFill="1" applyBorder="1" applyProtection="1">
      <protection locked="0"/>
    </xf>
    <xf numFmtId="167" fontId="9" fillId="2" borderId="3" xfId="1" applyNumberFormat="1" applyFont="1" applyFill="1" applyBorder="1" applyAlignment="1" applyProtection="1">
      <alignment wrapText="1"/>
      <protection locked="0"/>
    </xf>
    <xf numFmtId="3" fontId="9" fillId="2" borderId="20" xfId="0" applyNumberFormat="1" applyFont="1" applyFill="1" applyBorder="1" applyAlignment="1" applyProtection="1">
      <alignment horizontal="right"/>
      <protection locked="0"/>
    </xf>
  </cellXfs>
  <cellStyles count="3">
    <cellStyle name="Komma" xfId="1" builtinId="3"/>
    <cellStyle name="K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4</xdr:col>
      <xdr:colOff>14816</xdr:colOff>
      <xdr:row>24</xdr:row>
      <xdr:rowOff>168276</xdr:rowOff>
    </xdr:from>
    <xdr:ext cx="5831417" cy="1393824"/>
    <xdr:sp macro="" textlink="">
      <xdr:nvSpPr>
        <xdr:cNvPr id="3" name="Tekstfelt 2">
          <a:extLst>
            <a:ext uri="{FF2B5EF4-FFF2-40B4-BE49-F238E27FC236}">
              <a16:creationId xmlns:a16="http://schemas.microsoft.com/office/drawing/2014/main" id="{B0004287-2311-415F-8741-51774FEF9191}"/>
            </a:ext>
          </a:extLst>
        </xdr:cNvPr>
        <xdr:cNvSpPr txBox="1"/>
      </xdr:nvSpPr>
      <xdr:spPr>
        <a:xfrm>
          <a:off x="6187016" y="5883276"/>
          <a:ext cx="5831417" cy="1393824"/>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r>
            <a:rPr lang="da-DK" sz="1400" b="1"/>
            <a:t>OBS! </a:t>
          </a:r>
          <a:r>
            <a:rPr lang="da-DK" sz="1400" b="0"/>
            <a:t>Bemærk at beregneren kun skal bruges ift. den pris, der står på slutsedlen. HUSK forbehold for at L93 går igennem. Derudover bemærk, at når du indberetter til SKAT, skal du stadig indskrive bilens handelspris og oprindelig nypris, som den var før afgiftsnedsættelsen. Ellers kan du risikere, at du ikke modtager den korrekte afgiftstilbagebetaling, når SKAT gennemgår sagerne i januar 2017.</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bdk.dk/media/420602/Registreringsafgift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tast"/>
      <sheetName val="Ark2"/>
    </sheetNames>
    <sheetDataSet>
      <sheetData sheetId="0"/>
      <sheetData sheetId="1">
        <row r="1">
          <cell r="B1" t="str">
            <v>Benzin</v>
          </cell>
          <cell r="F1">
            <v>0</v>
          </cell>
        </row>
        <row r="2">
          <cell r="B2" t="str">
            <v>Diesel</v>
          </cell>
          <cell r="F2">
            <v>1</v>
          </cell>
        </row>
        <row r="3">
          <cell r="B3" t="str">
            <v>El</v>
          </cell>
          <cell r="F3">
            <v>2</v>
          </cell>
        </row>
        <row r="4">
          <cell r="F4">
            <v>3</v>
          </cell>
        </row>
        <row r="5">
          <cell r="F5">
            <v>4</v>
          </cell>
        </row>
        <row r="6">
          <cell r="F6">
            <v>5</v>
          </cell>
        </row>
        <row r="7">
          <cell r="F7">
            <v>6</v>
          </cell>
        </row>
        <row r="8">
          <cell r="F8">
            <v>7</v>
          </cell>
        </row>
        <row r="9">
          <cell r="F9">
            <v>8</v>
          </cell>
        </row>
        <row r="10">
          <cell r="F10">
            <v>9</v>
          </cell>
        </row>
        <row r="11">
          <cell r="F11">
            <v>10</v>
          </cell>
        </row>
      </sheetData>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V115"/>
  <sheetViews>
    <sheetView workbookViewId="0">
      <selection activeCell="E5" sqref="E5"/>
    </sheetView>
  </sheetViews>
  <sheetFormatPr defaultColWidth="10.42578125" defaultRowHeight="15.75" x14ac:dyDescent="0.25"/>
  <cols>
    <col min="1" max="1" width="3" style="66" customWidth="1"/>
    <col min="2" max="2" width="9.42578125" style="66" customWidth="1"/>
    <col min="3" max="3" width="9.5703125" style="66" customWidth="1"/>
    <col min="4" max="4" width="16" style="66" customWidth="1"/>
    <col min="5" max="5" width="11.140625" style="66" customWidth="1"/>
    <col min="6" max="7" width="10.42578125" style="120" customWidth="1"/>
    <col min="8" max="8" width="10.42578125" style="66" customWidth="1"/>
    <col min="9" max="9" width="12.42578125" style="66" bestFit="1" customWidth="1"/>
    <col min="10" max="10" width="12.42578125" style="126" customWidth="1"/>
    <col min="11" max="11" width="11.42578125" style="66" customWidth="1"/>
    <col min="12" max="12" width="14" style="66" customWidth="1"/>
    <col min="13" max="13" width="14" style="67" customWidth="1"/>
    <col min="14" max="15" width="10.42578125" style="66" customWidth="1"/>
    <col min="16" max="17" width="10.5703125" style="68" customWidth="1"/>
    <col min="18" max="18" width="10.42578125" style="66"/>
    <col min="19" max="19" width="10.42578125" style="68"/>
    <col min="20" max="20" width="12.42578125" style="69" customWidth="1"/>
    <col min="21" max="16384" width="10.42578125" style="66"/>
  </cols>
  <sheetData>
    <row r="1" spans="1:20" x14ac:dyDescent="0.25">
      <c r="A1" s="63"/>
      <c r="B1" s="63"/>
      <c r="C1" s="63"/>
      <c r="D1" s="63"/>
      <c r="E1" s="63"/>
      <c r="F1" s="64"/>
      <c r="G1" s="64"/>
      <c r="H1" s="63"/>
      <c r="I1" s="63"/>
      <c r="J1" s="65"/>
    </row>
    <row r="2" spans="1:20" x14ac:dyDescent="0.25">
      <c r="A2" s="63"/>
      <c r="B2" s="63"/>
      <c r="C2" s="63"/>
      <c r="D2" s="63"/>
      <c r="E2" s="63"/>
      <c r="F2" s="64"/>
      <c r="G2" s="64"/>
      <c r="H2" s="63"/>
      <c r="I2" s="63"/>
      <c r="J2" s="65"/>
    </row>
    <row r="3" spans="1:20" x14ac:dyDescent="0.25">
      <c r="A3" s="63"/>
      <c r="B3" s="70"/>
      <c r="C3" s="70"/>
      <c r="D3" s="70"/>
      <c r="E3" s="63"/>
      <c r="F3" s="64"/>
      <c r="G3" s="64"/>
      <c r="H3" s="63"/>
      <c r="I3" s="63"/>
      <c r="J3" s="71"/>
      <c r="L3" s="66">
        <f>SUM(E6*0.03)</f>
        <v>11314.5</v>
      </c>
      <c r="M3" s="67">
        <f>ROUND(L3,-2)</f>
        <v>11300</v>
      </c>
    </row>
    <row r="4" spans="1:20" x14ac:dyDescent="0.25">
      <c r="A4" s="63"/>
      <c r="B4" s="70" t="s">
        <v>50</v>
      </c>
      <c r="C4" s="70"/>
      <c r="D4" s="70" t="s">
        <v>51</v>
      </c>
      <c r="E4" s="72">
        <v>397000</v>
      </c>
      <c r="F4" s="64"/>
      <c r="G4" s="64"/>
      <c r="H4" s="63"/>
      <c r="I4" s="63"/>
      <c r="J4" s="65"/>
    </row>
    <row r="5" spans="1:20" x14ac:dyDescent="0.25">
      <c r="A5" s="63"/>
      <c r="B5" s="63"/>
      <c r="C5" s="63"/>
      <c r="D5" s="63" t="s">
        <v>52</v>
      </c>
      <c r="E5" s="73">
        <f>E4*0.05</f>
        <v>19850</v>
      </c>
      <c r="F5" s="74"/>
      <c r="G5" s="64" t="s">
        <v>53</v>
      </c>
      <c r="H5" s="63" t="s">
        <v>54</v>
      </c>
      <c r="I5" s="63"/>
      <c r="J5" s="65"/>
    </row>
    <row r="6" spans="1:20" x14ac:dyDescent="0.25">
      <c r="A6" s="63"/>
      <c r="B6" s="63"/>
      <c r="C6" s="63"/>
      <c r="D6" s="63" t="s">
        <v>16</v>
      </c>
      <c r="E6" s="75">
        <f>E4-E5</f>
        <v>377150</v>
      </c>
      <c r="F6" s="76"/>
      <c r="G6" s="76"/>
      <c r="H6" s="77">
        <f>IF(M3&gt;8000,8000,M3)</f>
        <v>8000</v>
      </c>
      <c r="I6" s="63"/>
      <c r="J6" s="65"/>
      <c r="M6" s="67" t="s">
        <v>55</v>
      </c>
    </row>
    <row r="7" spans="1:20" x14ac:dyDescent="0.25">
      <c r="A7" s="63"/>
      <c r="B7" s="63"/>
      <c r="C7" s="63"/>
      <c r="D7" s="63" t="s">
        <v>56</v>
      </c>
      <c r="E7" s="136">
        <v>14000</v>
      </c>
      <c r="F7" s="63" t="s">
        <v>57</v>
      </c>
      <c r="G7" s="63"/>
      <c r="H7" s="78">
        <f>IF(E8&gt;E7,"0",E7-(E7*0.100001))</f>
        <v>12599.986000000001</v>
      </c>
      <c r="I7" s="78" t="str">
        <f>IF(E8&gt;E7,E8-E108,"0")</f>
        <v>0</v>
      </c>
      <c r="J7" s="65"/>
      <c r="P7" s="79">
        <f>E7-E8</f>
        <v>0</v>
      </c>
      <c r="Q7" s="79"/>
      <c r="T7" s="69">
        <f>IF(Q20&gt;(E6/10),Q20,0)</f>
        <v>0</v>
      </c>
    </row>
    <row r="8" spans="1:20" x14ac:dyDescent="0.25">
      <c r="A8" s="63"/>
      <c r="B8" s="63"/>
      <c r="C8" s="63"/>
      <c r="D8" s="63" t="s">
        <v>58</v>
      </c>
      <c r="E8" s="136">
        <v>14000</v>
      </c>
      <c r="F8" s="63" t="s">
        <v>57</v>
      </c>
      <c r="G8" s="63"/>
      <c r="H8" s="78" t="str">
        <f>IF(E7&gt;E8,H7-E8,"0")</f>
        <v>0</v>
      </c>
      <c r="I8" s="78" t="str">
        <f>IF(E8&gt;E7,E8-E7,"0")</f>
        <v>0</v>
      </c>
      <c r="J8" s="65"/>
      <c r="P8" s="79">
        <f>E8-E7</f>
        <v>0</v>
      </c>
      <c r="Q8" s="79"/>
    </row>
    <row r="9" spans="1:20" x14ac:dyDescent="0.25">
      <c r="A9" s="63"/>
      <c r="B9" s="63"/>
      <c r="C9" s="63"/>
      <c r="D9" s="63" t="s">
        <v>59</v>
      </c>
      <c r="E9" s="137">
        <v>17600</v>
      </c>
      <c r="F9" s="138"/>
      <c r="G9" s="80" t="s">
        <v>60</v>
      </c>
      <c r="H9" s="115" t="s">
        <v>107</v>
      </c>
      <c r="I9" s="72">
        <v>10000</v>
      </c>
      <c r="J9" s="72">
        <v>75000</v>
      </c>
      <c r="P9" s="79"/>
      <c r="Q9" s="79"/>
    </row>
    <row r="10" spans="1:20" x14ac:dyDescent="0.25">
      <c r="A10" s="63"/>
      <c r="B10" s="63"/>
      <c r="C10" s="63"/>
      <c r="D10" s="63" t="s">
        <v>61</v>
      </c>
      <c r="E10" s="133">
        <f>'Afgiftsberegning NY AFG'!C25</f>
        <v>197779.00000000003</v>
      </c>
      <c r="F10" s="133">
        <f>'Afgiftsberegning NY AFG'!C25</f>
        <v>197779.00000000003</v>
      </c>
      <c r="G10" s="81"/>
      <c r="H10" s="115" t="s">
        <v>61</v>
      </c>
      <c r="I10" s="136">
        <v>45000</v>
      </c>
      <c r="J10" s="136">
        <v>45000</v>
      </c>
      <c r="P10" s="79"/>
      <c r="Q10" s="79"/>
    </row>
    <row r="11" spans="1:20" ht="16.5" thickBot="1" x14ac:dyDescent="0.3">
      <c r="A11" s="63"/>
      <c r="B11" s="63"/>
      <c r="C11" s="63"/>
      <c r="D11" s="63" t="s">
        <v>62</v>
      </c>
      <c r="E11" s="134">
        <f>E10+(E9*7.46)*1.25</f>
        <v>361899</v>
      </c>
      <c r="F11" s="135">
        <f>F10+(F9*1.25)</f>
        <v>197779.00000000003</v>
      </c>
      <c r="G11" s="81"/>
      <c r="H11" s="115" t="s">
        <v>108</v>
      </c>
      <c r="I11" s="134">
        <f>I10+(I9*7.46)*1.25</f>
        <v>138250</v>
      </c>
      <c r="J11" s="134">
        <f>J10+(J9*1.25)</f>
        <v>138750</v>
      </c>
      <c r="P11" s="79"/>
      <c r="Q11" s="79"/>
    </row>
    <row r="12" spans="1:20" ht="17.25" thickTop="1" thickBot="1" x14ac:dyDescent="0.3">
      <c r="A12" s="63"/>
      <c r="B12" s="63"/>
      <c r="C12" s="63"/>
      <c r="D12" s="70"/>
      <c r="E12" s="82"/>
      <c r="F12" s="81"/>
      <c r="G12" s="64"/>
      <c r="H12" s="63"/>
      <c r="I12" s="65"/>
      <c r="J12" s="115" t="s">
        <v>109</v>
      </c>
      <c r="P12" s="79"/>
      <c r="Q12" s="79"/>
    </row>
    <row r="13" spans="1:20" ht="16.5" thickBot="1" x14ac:dyDescent="0.3">
      <c r="A13" s="63"/>
      <c r="B13" s="63"/>
      <c r="C13" s="63"/>
      <c r="D13" s="70"/>
      <c r="E13" s="83" t="s">
        <v>63</v>
      </c>
      <c r="F13" s="84" t="s">
        <v>64</v>
      </c>
      <c r="G13" s="84" t="s">
        <v>65</v>
      </c>
      <c r="H13" s="85" t="s">
        <v>66</v>
      </c>
      <c r="I13" s="86" t="s">
        <v>67</v>
      </c>
      <c r="J13" s="65"/>
    </row>
    <row r="14" spans="1:20" x14ac:dyDescent="0.25">
      <c r="A14" s="63"/>
      <c r="B14" s="63" t="s">
        <v>16</v>
      </c>
      <c r="C14" s="63"/>
      <c r="D14" s="70"/>
      <c r="E14" s="87">
        <f>E6</f>
        <v>377150</v>
      </c>
      <c r="F14" s="88">
        <f>E6</f>
        <v>377150</v>
      </c>
      <c r="G14" s="88">
        <f>E6</f>
        <v>377150</v>
      </c>
      <c r="H14" s="88">
        <f>E6</f>
        <v>377150</v>
      </c>
      <c r="I14" s="89">
        <f>E93</f>
        <v>377150</v>
      </c>
      <c r="J14" s="65"/>
      <c r="M14" s="90"/>
    </row>
    <row r="15" spans="1:20" x14ac:dyDescent="0.25">
      <c r="A15" s="63"/>
      <c r="B15" s="76" t="s">
        <v>68</v>
      </c>
      <c r="C15" s="76"/>
      <c r="D15" s="76"/>
      <c r="E15" s="91">
        <f>IF(T15&lt;Q19,V23,Q19)</f>
        <v>0</v>
      </c>
      <c r="F15" s="92">
        <f>IF(T35&lt;Q38,V42,Q38)</f>
        <v>0</v>
      </c>
      <c r="G15" s="92">
        <f>IF(T54&lt;Q57,V61,Q57)</f>
        <v>0</v>
      </c>
      <c r="H15" s="92">
        <f>IF(T75&lt;Q78,V82,Q78)</f>
        <v>0</v>
      </c>
      <c r="I15" s="93">
        <f>IF(N98&lt;K109,P105,K109)</f>
        <v>0</v>
      </c>
      <c r="J15" s="65"/>
      <c r="O15" s="94"/>
      <c r="P15" s="95">
        <f>IF(P7&gt;=0,E6/100000*(P7)*R15,"0")</f>
        <v>0</v>
      </c>
      <c r="Q15" s="95">
        <f>IF(P8&gt;=0,E6/100000*(P8)*R15,"0")</f>
        <v>0</v>
      </c>
      <c r="R15" s="96">
        <v>0.31</v>
      </c>
      <c r="T15" s="69">
        <f>E6/10</f>
        <v>37715</v>
      </c>
    </row>
    <row r="16" spans="1:20" x14ac:dyDescent="0.25">
      <c r="A16" s="63"/>
      <c r="B16" s="76" t="s">
        <v>69</v>
      </c>
      <c r="C16" s="76"/>
      <c r="D16" s="76"/>
      <c r="E16" s="91">
        <f>IF(T15&lt;Q20,V27,Q20)</f>
        <v>0</v>
      </c>
      <c r="F16" s="92">
        <f>IF(T35&lt;Q39,V46,Q39)</f>
        <v>0</v>
      </c>
      <c r="G16" s="92">
        <f>IF(T54&lt;Q58,V67,Q58)</f>
        <v>0</v>
      </c>
      <c r="H16" s="92">
        <f>IF(T75&lt;Q79,V88,Q79)</f>
        <v>0</v>
      </c>
      <c r="I16" s="93">
        <f>IF(N98&lt;K110,P111,K110)</f>
        <v>0</v>
      </c>
      <c r="J16" s="65"/>
    </row>
    <row r="17" spans="1:22" ht="16.5" thickBot="1" x14ac:dyDescent="0.3">
      <c r="A17" s="63"/>
      <c r="B17" s="76" t="s">
        <v>70</v>
      </c>
      <c r="C17" s="76"/>
      <c r="D17" s="76"/>
      <c r="E17" s="91">
        <f>H6</f>
        <v>8000</v>
      </c>
      <c r="F17" s="92">
        <f>H6</f>
        <v>8000</v>
      </c>
      <c r="G17" s="92">
        <f>H6</f>
        <v>8000</v>
      </c>
      <c r="H17" s="92">
        <f>H6</f>
        <v>8000</v>
      </c>
      <c r="I17" s="93">
        <f>H6</f>
        <v>8000</v>
      </c>
      <c r="J17" s="65"/>
    </row>
    <row r="18" spans="1:22" ht="16.5" thickBot="1" x14ac:dyDescent="0.3">
      <c r="A18" s="63"/>
      <c r="B18" s="97" t="s">
        <v>71</v>
      </c>
      <c r="C18" s="97"/>
      <c r="D18" s="98"/>
      <c r="E18" s="99">
        <f>IF(E7&gt;=E8,E6+E15-E17,E6-E16-E17)</f>
        <v>369150</v>
      </c>
      <c r="F18" s="100">
        <f>IF(E7&gt;=E8,E6+F15-F17,E6-F16-F17)</f>
        <v>369150</v>
      </c>
      <c r="G18" s="101">
        <f>IF(E7&gt;=E8,E6+G15-G17,E6-G16-G17)</f>
        <v>369150</v>
      </c>
      <c r="H18" s="102">
        <f>IF(E7&gt;=E8,E6+H15-H17,E6-H16-H17)</f>
        <v>369150</v>
      </c>
      <c r="I18" s="103">
        <f>IF(E94&gt;=E95,E93+I15-I17,E93-I16-I17)</f>
        <v>369150</v>
      </c>
      <c r="J18" s="65"/>
      <c r="P18" s="66"/>
      <c r="Q18" s="66" t="s">
        <v>72</v>
      </c>
    </row>
    <row r="19" spans="1:22" ht="16.5" thickTop="1" x14ac:dyDescent="0.25">
      <c r="A19" s="63"/>
      <c r="B19" s="63" t="s">
        <v>73</v>
      </c>
      <c r="C19" s="63"/>
      <c r="D19" s="63"/>
      <c r="E19" s="104">
        <f>IF(E18*0.05&gt;12000,12000,E18*0.05)</f>
        <v>12000</v>
      </c>
      <c r="F19" s="104">
        <f t="shared" ref="F19:I19" si="0">IF(F18*0.05&gt;12000,12000,F18*0.05)</f>
        <v>12000</v>
      </c>
      <c r="G19" s="104">
        <f t="shared" si="0"/>
        <v>12000</v>
      </c>
      <c r="H19" s="104">
        <f t="shared" si="0"/>
        <v>12000</v>
      </c>
      <c r="I19" s="104">
        <f t="shared" si="0"/>
        <v>12000</v>
      </c>
      <c r="J19" s="65"/>
      <c r="O19" s="94"/>
      <c r="P19" s="105" t="str">
        <f>IF(E8&lt;=H7,P15,"0")</f>
        <v>0</v>
      </c>
      <c r="Q19" s="106">
        <f>ROUND(P19,-2)</f>
        <v>0</v>
      </c>
    </row>
    <row r="20" spans="1:22" x14ac:dyDescent="0.25">
      <c r="A20" s="63"/>
      <c r="B20" s="63" t="s">
        <v>74</v>
      </c>
      <c r="C20" s="63"/>
      <c r="D20" s="63"/>
      <c r="E20" s="107">
        <f>E18-E19</f>
        <v>357150</v>
      </c>
      <c r="F20" s="108">
        <f t="shared" ref="F20:I20" si="1">F18-F19</f>
        <v>357150</v>
      </c>
      <c r="G20" s="107">
        <f t="shared" si="1"/>
        <v>357150</v>
      </c>
      <c r="H20" s="107">
        <f t="shared" si="1"/>
        <v>357150</v>
      </c>
      <c r="I20" s="107">
        <f t="shared" si="1"/>
        <v>357150</v>
      </c>
      <c r="J20" s="65"/>
      <c r="O20" s="94"/>
      <c r="P20" s="105" t="str">
        <f>IF(E8&gt;=(E7*1.100001),Q15,"0")</f>
        <v>0</v>
      </c>
      <c r="Q20" s="106">
        <f>ROUND(P20,-2)</f>
        <v>0</v>
      </c>
      <c r="S20" s="94"/>
      <c r="T20" s="79" t="str">
        <f>P19</f>
        <v>0</v>
      </c>
    </row>
    <row r="21" spans="1:22" x14ac:dyDescent="0.25">
      <c r="A21" s="63"/>
      <c r="B21" s="63"/>
      <c r="C21" s="63"/>
      <c r="D21" s="63"/>
      <c r="E21" s="63"/>
      <c r="F21" s="63"/>
      <c r="G21" s="63"/>
      <c r="H21" s="63"/>
      <c r="I21" s="63"/>
      <c r="J21" s="63"/>
      <c r="T21" s="69">
        <f>P19-T15</f>
        <v>-37715</v>
      </c>
    </row>
    <row r="22" spans="1:22" x14ac:dyDescent="0.25">
      <c r="A22" s="63"/>
      <c r="B22" s="63"/>
      <c r="C22" s="63"/>
      <c r="D22" s="63"/>
      <c r="E22" s="63"/>
      <c r="F22" s="63"/>
      <c r="G22" s="63"/>
      <c r="H22" s="63"/>
      <c r="I22" s="63"/>
      <c r="J22" s="63"/>
      <c r="T22" s="66">
        <f>T21/2</f>
        <v>-18857.5</v>
      </c>
    </row>
    <row r="23" spans="1:22" x14ac:dyDescent="0.25">
      <c r="A23" s="63"/>
      <c r="B23" s="63"/>
      <c r="C23" s="63"/>
      <c r="D23" s="63"/>
      <c r="E23" s="63"/>
      <c r="F23" s="63"/>
      <c r="G23" s="63"/>
      <c r="H23" s="63"/>
      <c r="I23" s="63"/>
      <c r="J23" s="63"/>
      <c r="Q23" s="95"/>
      <c r="R23" s="96"/>
      <c r="T23" s="109">
        <f>T22+T15</f>
        <v>18857.5</v>
      </c>
      <c r="U23" s="109">
        <f>ROUND(T23,-2)</f>
        <v>18900</v>
      </c>
      <c r="V23" s="68" t="str">
        <f>IF(Q19&gt;0,U23,"0")</f>
        <v>0</v>
      </c>
    </row>
    <row r="24" spans="1:22" x14ac:dyDescent="0.25">
      <c r="A24" s="63"/>
      <c r="B24" s="63"/>
      <c r="C24" s="63"/>
      <c r="D24" s="63"/>
      <c r="E24" s="63"/>
      <c r="F24" s="63"/>
      <c r="G24" s="63"/>
      <c r="H24" s="63"/>
      <c r="I24" s="63"/>
      <c r="J24" s="63"/>
      <c r="M24" s="95"/>
      <c r="P24" s="110"/>
      <c r="Q24" s="110"/>
      <c r="R24" s="111"/>
      <c r="S24" s="94"/>
      <c r="T24" s="69">
        <f>Q20</f>
        <v>0</v>
      </c>
    </row>
    <row r="25" spans="1:22" ht="16.5" thickBot="1" x14ac:dyDescent="0.3">
      <c r="A25" s="63"/>
      <c r="B25" s="112"/>
      <c r="C25" s="113"/>
      <c r="D25" s="114"/>
      <c r="E25" s="115" t="s">
        <v>75</v>
      </c>
      <c r="F25" s="114" t="s">
        <v>76</v>
      </c>
      <c r="G25" s="114" t="s">
        <v>77</v>
      </c>
      <c r="H25" s="116" t="s">
        <v>78</v>
      </c>
      <c r="I25" s="114"/>
      <c r="J25" s="63"/>
      <c r="L25" s="79"/>
      <c r="M25" s="95"/>
      <c r="P25" s="110"/>
      <c r="Q25" s="110"/>
      <c r="R25" s="111"/>
      <c r="T25" s="69">
        <f>Q20-T15</f>
        <v>-37715</v>
      </c>
    </row>
    <row r="26" spans="1:22" x14ac:dyDescent="0.25">
      <c r="A26" s="63"/>
      <c r="B26" s="113"/>
      <c r="C26" s="113"/>
      <c r="D26" s="117"/>
      <c r="E26" s="115" t="s">
        <v>79</v>
      </c>
      <c r="F26" s="118">
        <v>20000</v>
      </c>
      <c r="G26" s="118">
        <v>30000</v>
      </c>
      <c r="H26" s="116" t="s">
        <v>80</v>
      </c>
      <c r="I26" s="119"/>
      <c r="J26" s="63"/>
      <c r="L26" s="120"/>
      <c r="M26" s="105"/>
      <c r="S26" s="110"/>
      <c r="T26" s="109">
        <f>T25/2</f>
        <v>-18857.5</v>
      </c>
      <c r="U26" s="111"/>
    </row>
    <row r="27" spans="1:22" x14ac:dyDescent="0.25">
      <c r="A27" s="63"/>
      <c r="B27" s="113"/>
      <c r="C27" s="113"/>
      <c r="D27" s="117"/>
      <c r="E27" s="64" t="s">
        <v>81</v>
      </c>
      <c r="F27" s="121">
        <v>40000</v>
      </c>
      <c r="G27" s="121">
        <v>60000</v>
      </c>
      <c r="H27" s="116" t="s">
        <v>82</v>
      </c>
      <c r="I27" s="119"/>
      <c r="J27" s="63"/>
      <c r="L27" s="120"/>
      <c r="M27" s="105"/>
      <c r="S27" s="110"/>
      <c r="T27" s="109">
        <f>T26+T15</f>
        <v>18857.5</v>
      </c>
      <c r="U27" s="109">
        <f>ROUND(T27,-2)</f>
        <v>18900</v>
      </c>
      <c r="V27" s="68" t="str">
        <f>IF(Q20&gt;0,U27,"0")</f>
        <v>0</v>
      </c>
    </row>
    <row r="28" spans="1:22" x14ac:dyDescent="0.25">
      <c r="A28" s="63"/>
      <c r="B28" s="113"/>
      <c r="C28" s="113"/>
      <c r="D28" s="117"/>
      <c r="E28" s="64" t="s">
        <v>83</v>
      </c>
      <c r="F28" s="121">
        <v>60000</v>
      </c>
      <c r="G28" s="121">
        <v>90000</v>
      </c>
      <c r="H28" s="113"/>
      <c r="I28" s="119"/>
      <c r="J28" s="63"/>
    </row>
    <row r="29" spans="1:22" x14ac:dyDescent="0.25">
      <c r="A29" s="63"/>
      <c r="B29" s="113"/>
      <c r="C29" s="113"/>
      <c r="D29" s="117"/>
      <c r="E29" s="64" t="s">
        <v>84</v>
      </c>
      <c r="F29" s="121">
        <v>80000</v>
      </c>
      <c r="G29" s="121">
        <v>120000</v>
      </c>
      <c r="H29" s="113"/>
      <c r="I29" s="119"/>
      <c r="J29" s="63"/>
      <c r="M29" s="67" t="s">
        <v>85</v>
      </c>
    </row>
    <row r="30" spans="1:22" x14ac:dyDescent="0.25">
      <c r="A30" s="63"/>
      <c r="B30" s="113"/>
      <c r="C30" s="113"/>
      <c r="D30" s="113"/>
      <c r="E30" s="64" t="s">
        <v>86</v>
      </c>
      <c r="F30" s="121">
        <v>95000</v>
      </c>
      <c r="G30" s="121">
        <v>140000</v>
      </c>
      <c r="H30" s="113"/>
      <c r="I30" s="119"/>
      <c r="J30" s="63"/>
      <c r="P30" s="79">
        <f>E7-E8</f>
        <v>0</v>
      </c>
      <c r="Q30" s="79"/>
      <c r="T30" s="69">
        <f>IF(Q39&gt;(E6/10),Q39,0)</f>
        <v>0</v>
      </c>
    </row>
    <row r="31" spans="1:22" x14ac:dyDescent="0.25">
      <c r="A31" s="63"/>
      <c r="B31" s="113"/>
      <c r="C31" s="113"/>
      <c r="D31" s="113"/>
      <c r="E31" s="64" t="s">
        <v>87</v>
      </c>
      <c r="F31" s="121">
        <v>110000</v>
      </c>
      <c r="G31" s="121">
        <v>160000</v>
      </c>
      <c r="H31" s="113"/>
      <c r="I31" s="119"/>
      <c r="J31" s="63"/>
      <c r="P31" s="79">
        <f>E8-E7</f>
        <v>0</v>
      </c>
      <c r="Q31" s="79"/>
    </row>
    <row r="32" spans="1:22" x14ac:dyDescent="0.25">
      <c r="A32" s="63"/>
      <c r="B32" s="112"/>
      <c r="C32" s="113"/>
      <c r="D32" s="113"/>
      <c r="E32" s="64" t="s">
        <v>88</v>
      </c>
      <c r="F32" s="121">
        <v>125000</v>
      </c>
      <c r="G32" s="121">
        <v>180000</v>
      </c>
      <c r="H32" s="113"/>
      <c r="I32" s="119"/>
      <c r="J32" s="63"/>
      <c r="P32" s="79"/>
      <c r="Q32" s="79"/>
    </row>
    <row r="33" spans="1:22" x14ac:dyDescent="0.25">
      <c r="A33" s="63"/>
      <c r="B33" s="113"/>
      <c r="C33" s="113"/>
      <c r="D33" s="117"/>
      <c r="E33" s="64" t="s">
        <v>89</v>
      </c>
      <c r="F33" s="121">
        <v>140000</v>
      </c>
      <c r="G33" s="121">
        <v>200000</v>
      </c>
      <c r="H33" s="113"/>
      <c r="I33" s="119"/>
      <c r="J33" s="63"/>
    </row>
    <row r="34" spans="1:22" x14ac:dyDescent="0.25">
      <c r="A34" s="63"/>
      <c r="B34" s="113"/>
      <c r="C34" s="113"/>
      <c r="D34" s="117"/>
      <c r="E34" s="64" t="s">
        <v>90</v>
      </c>
      <c r="F34" s="121">
        <v>155000</v>
      </c>
      <c r="G34" s="121">
        <v>220000</v>
      </c>
      <c r="H34" s="113"/>
      <c r="I34" s="119"/>
      <c r="J34" s="63"/>
    </row>
    <row r="35" spans="1:22" x14ac:dyDescent="0.25">
      <c r="A35" s="63"/>
      <c r="B35" s="113"/>
      <c r="C35" s="113"/>
      <c r="D35" s="117"/>
      <c r="E35" s="64" t="s">
        <v>91</v>
      </c>
      <c r="F35" s="121">
        <v>170000</v>
      </c>
      <c r="G35" s="121">
        <v>240000</v>
      </c>
      <c r="H35" s="113"/>
      <c r="I35" s="119"/>
      <c r="J35" s="63"/>
      <c r="O35" s="94"/>
      <c r="P35" s="95">
        <f>IF(P30&gt;=0,E6/100000*(P30)*R35,"0")</f>
        <v>0</v>
      </c>
      <c r="Q35" s="95">
        <f>IF(P8&gt;=0,E6/100000*(P8)*R35,"0")</f>
        <v>0</v>
      </c>
      <c r="R35" s="96">
        <v>0.22</v>
      </c>
      <c r="T35" s="69">
        <f>E6/10</f>
        <v>37715</v>
      </c>
    </row>
    <row r="36" spans="1:22" x14ac:dyDescent="0.25">
      <c r="A36" s="63"/>
      <c r="B36" s="113"/>
      <c r="C36" s="113"/>
      <c r="D36" s="117"/>
      <c r="E36" s="64" t="s">
        <v>92</v>
      </c>
      <c r="F36" s="121">
        <v>185000</v>
      </c>
      <c r="G36" s="121">
        <v>260000</v>
      </c>
      <c r="H36" s="113"/>
      <c r="I36" s="119"/>
      <c r="J36" s="63"/>
    </row>
    <row r="37" spans="1:22" x14ac:dyDescent="0.25">
      <c r="A37" s="63"/>
      <c r="B37" s="113"/>
      <c r="C37" s="113"/>
      <c r="D37" s="113"/>
      <c r="E37" s="64" t="s">
        <v>93</v>
      </c>
      <c r="F37" s="121">
        <v>200000</v>
      </c>
      <c r="G37" s="121">
        <v>280000</v>
      </c>
      <c r="H37" s="113"/>
      <c r="I37" s="119"/>
      <c r="J37" s="63"/>
      <c r="P37" s="66"/>
      <c r="Q37" s="66" t="s">
        <v>72</v>
      </c>
    </row>
    <row r="38" spans="1:22" x14ac:dyDescent="0.25">
      <c r="A38" s="63"/>
      <c r="B38" s="113"/>
      <c r="C38" s="113"/>
      <c r="D38" s="113"/>
      <c r="E38" s="64" t="s">
        <v>94</v>
      </c>
      <c r="F38" s="121">
        <v>215000</v>
      </c>
      <c r="G38" s="121">
        <v>300000</v>
      </c>
      <c r="H38" s="113"/>
      <c r="I38" s="119"/>
      <c r="J38" s="65"/>
      <c r="O38" s="94"/>
      <c r="P38" s="105" t="str">
        <f>IF(E8&lt;=H7,P35,"0")</f>
        <v>0</v>
      </c>
      <c r="Q38" s="106">
        <f>ROUND(P38,-2)</f>
        <v>0</v>
      </c>
    </row>
    <row r="39" spans="1:22" x14ac:dyDescent="0.25">
      <c r="A39" s="63"/>
      <c r="B39" s="113"/>
      <c r="C39" s="113"/>
      <c r="D39" s="113"/>
      <c r="E39" s="64" t="s">
        <v>95</v>
      </c>
      <c r="F39" s="121">
        <v>230000</v>
      </c>
      <c r="G39" s="121">
        <v>320000</v>
      </c>
      <c r="H39" s="113"/>
      <c r="I39" s="119"/>
      <c r="J39" s="65"/>
      <c r="O39" s="94"/>
      <c r="P39" s="105" t="str">
        <f>IF(E8&gt;=(E7*1.100001),Q35,"0")</f>
        <v>0</v>
      </c>
      <c r="Q39" s="106">
        <f>ROUND(P39,-2)</f>
        <v>0</v>
      </c>
      <c r="S39" s="94"/>
      <c r="T39" s="79" t="str">
        <f>P38</f>
        <v>0</v>
      </c>
    </row>
    <row r="40" spans="1:22" x14ac:dyDescent="0.25">
      <c r="A40" s="63"/>
      <c r="B40" s="113"/>
      <c r="C40" s="113"/>
      <c r="D40" s="113"/>
      <c r="E40" s="64" t="s">
        <v>96</v>
      </c>
      <c r="F40" s="121">
        <v>245000</v>
      </c>
      <c r="G40" s="121">
        <v>340000</v>
      </c>
      <c r="H40" s="113"/>
      <c r="I40" s="119"/>
      <c r="J40" s="65"/>
      <c r="T40" s="69">
        <f>P38-T35</f>
        <v>-37715</v>
      </c>
    </row>
    <row r="41" spans="1:22" x14ac:dyDescent="0.25">
      <c r="A41" s="63"/>
      <c r="B41" s="63"/>
      <c r="C41" s="63"/>
      <c r="D41" s="63"/>
      <c r="E41" s="64" t="s">
        <v>97</v>
      </c>
      <c r="F41" s="121">
        <v>260000</v>
      </c>
      <c r="G41" s="121">
        <v>360000</v>
      </c>
      <c r="H41" s="113"/>
      <c r="I41" s="119"/>
      <c r="J41" s="65"/>
      <c r="T41" s="109">
        <f>T40/2</f>
        <v>-18857.5</v>
      </c>
      <c r="U41" s="111"/>
    </row>
    <row r="42" spans="1:22" ht="16.5" thickBot="1" x14ac:dyDescent="0.3">
      <c r="A42" s="63"/>
      <c r="B42" s="63"/>
      <c r="C42" s="63"/>
      <c r="D42" s="63"/>
      <c r="E42" s="64" t="s">
        <v>98</v>
      </c>
      <c r="F42" s="122">
        <v>275000</v>
      </c>
      <c r="G42" s="122">
        <v>380000</v>
      </c>
      <c r="H42" s="113"/>
      <c r="I42" s="119"/>
      <c r="J42" s="65"/>
      <c r="T42" s="109">
        <f>T41+T35</f>
        <v>18857.5</v>
      </c>
      <c r="U42" s="109">
        <f>ROUND(T42,-2)</f>
        <v>18900</v>
      </c>
      <c r="V42" s="68" t="str">
        <f>IF(Q38&gt;0,U42,"0")</f>
        <v>0</v>
      </c>
    </row>
    <row r="43" spans="1:22" x14ac:dyDescent="0.25">
      <c r="A43" s="63"/>
      <c r="B43" s="63"/>
      <c r="C43" s="63"/>
      <c r="D43" s="63"/>
      <c r="E43" s="63"/>
      <c r="F43" s="63"/>
      <c r="G43" s="63"/>
      <c r="H43" s="63"/>
      <c r="I43" s="63"/>
      <c r="J43" s="65"/>
    </row>
    <row r="44" spans="1:22" x14ac:dyDescent="0.25">
      <c r="A44" s="123" t="s">
        <v>99</v>
      </c>
      <c r="B44" s="63"/>
      <c r="C44" s="63"/>
      <c r="D44" s="63"/>
      <c r="E44" s="63"/>
      <c r="F44" s="63"/>
      <c r="G44" s="124"/>
      <c r="H44" s="115"/>
      <c r="I44" s="63"/>
      <c r="J44" s="65"/>
      <c r="P44" s="110"/>
      <c r="Q44" s="110"/>
      <c r="R44" s="111"/>
      <c r="T44" s="69">
        <f>Q39-T35</f>
        <v>-37715</v>
      </c>
    </row>
    <row r="45" spans="1:22" x14ac:dyDescent="0.25">
      <c r="F45" s="66"/>
      <c r="G45" s="125"/>
      <c r="H45" s="68"/>
      <c r="S45" s="110"/>
      <c r="T45" s="109">
        <f>T44/2</f>
        <v>-18857.5</v>
      </c>
      <c r="U45" s="111"/>
    </row>
    <row r="46" spans="1:22" x14ac:dyDescent="0.25">
      <c r="F46" s="66"/>
      <c r="G46" s="125"/>
      <c r="H46" s="68"/>
      <c r="S46" s="110"/>
      <c r="T46" s="109">
        <f>T45+T35</f>
        <v>18857.5</v>
      </c>
      <c r="U46" s="109">
        <f>ROUND(T46,-2)</f>
        <v>18900</v>
      </c>
      <c r="V46" s="68" t="str">
        <f>IF(Q39&gt;0,U46,"0")</f>
        <v>0</v>
      </c>
    </row>
    <row r="47" spans="1:22" x14ac:dyDescent="0.25">
      <c r="F47" s="66"/>
      <c r="G47" s="127"/>
      <c r="H47" s="68"/>
    </row>
    <row r="48" spans="1:22" x14ac:dyDescent="0.25">
      <c r="F48" s="66"/>
      <c r="G48" s="66"/>
      <c r="M48" s="67" t="s">
        <v>100</v>
      </c>
    </row>
    <row r="49" spans="6:22" x14ac:dyDescent="0.25">
      <c r="F49" s="66"/>
      <c r="G49" s="66"/>
      <c r="P49" s="79">
        <f>E7-E8</f>
        <v>0</v>
      </c>
      <c r="Q49" s="79"/>
      <c r="T49" s="69">
        <f>IF(Q58&gt;(E6/10),Q58,0)</f>
        <v>0</v>
      </c>
    </row>
    <row r="50" spans="6:22" x14ac:dyDescent="0.25">
      <c r="P50" s="79">
        <f>E8-E7</f>
        <v>0</v>
      </c>
      <c r="Q50" s="79"/>
    </row>
    <row r="51" spans="6:22" x14ac:dyDescent="0.25">
      <c r="P51" s="79"/>
      <c r="Q51" s="79"/>
    </row>
    <row r="54" spans="6:22" x14ac:dyDescent="0.25">
      <c r="O54" s="94"/>
      <c r="P54" s="95">
        <f>IF(P49&gt;=0,E6/100000*(P49)*R54,"0")</f>
        <v>0</v>
      </c>
      <c r="Q54" s="95">
        <f>IF(P8&gt;=0,E6/100000*(P8)*R54,"0")</f>
        <v>0</v>
      </c>
      <c r="R54" s="96">
        <v>0.2</v>
      </c>
      <c r="T54" s="69">
        <f>E6/10</f>
        <v>37715</v>
      </c>
    </row>
    <row r="56" spans="6:22" x14ac:dyDescent="0.25">
      <c r="P56" s="66"/>
      <c r="Q56" s="66" t="s">
        <v>72</v>
      </c>
    </row>
    <row r="57" spans="6:22" x14ac:dyDescent="0.25">
      <c r="O57" s="94"/>
      <c r="P57" s="105" t="str">
        <f>IF(E8&lt;=H7,P54,"0")</f>
        <v>0</v>
      </c>
      <c r="Q57" s="106">
        <f>ROUND(P57,-2)</f>
        <v>0</v>
      </c>
    </row>
    <row r="58" spans="6:22" x14ac:dyDescent="0.25">
      <c r="O58" s="94"/>
      <c r="P58" s="105" t="str">
        <f>IF(E8&gt;=(E7*1.100001),Q54,"0")</f>
        <v>0</v>
      </c>
      <c r="Q58" s="106">
        <f>ROUND(P58,-2)</f>
        <v>0</v>
      </c>
      <c r="S58" s="94"/>
      <c r="T58" s="79" t="str">
        <f>P57</f>
        <v>0</v>
      </c>
    </row>
    <row r="59" spans="6:22" x14ac:dyDescent="0.25">
      <c r="T59" s="69">
        <f>P57-T54</f>
        <v>-37715</v>
      </c>
    </row>
    <row r="60" spans="6:22" x14ac:dyDescent="0.25">
      <c r="T60" s="109">
        <f>T59/2</f>
        <v>-18857.5</v>
      </c>
      <c r="U60" s="111"/>
    </row>
    <row r="61" spans="6:22" x14ac:dyDescent="0.25">
      <c r="T61" s="109">
        <f>T60+T54</f>
        <v>18857.5</v>
      </c>
      <c r="U61" s="109">
        <f>ROUND(T61,-2)</f>
        <v>18900</v>
      </c>
      <c r="V61" s="68" t="str">
        <f>IF(Q57&gt;0,U61,"0")</f>
        <v>0</v>
      </c>
    </row>
    <row r="63" spans="6:22" x14ac:dyDescent="0.25">
      <c r="Q63" s="95"/>
      <c r="R63" s="96"/>
    </row>
    <row r="64" spans="6:22" x14ac:dyDescent="0.25">
      <c r="P64" s="110"/>
      <c r="Q64" s="110"/>
      <c r="R64" s="111"/>
      <c r="S64" s="94"/>
      <c r="T64" s="69">
        <f>Q58</f>
        <v>0</v>
      </c>
    </row>
    <row r="65" spans="6:22" x14ac:dyDescent="0.25">
      <c r="F65" s="66"/>
      <c r="G65" s="66"/>
      <c r="J65" s="66"/>
      <c r="P65" s="110"/>
      <c r="Q65" s="110"/>
      <c r="R65" s="111"/>
      <c r="T65" s="69">
        <f>Q58-T54</f>
        <v>-37715</v>
      </c>
    </row>
    <row r="66" spans="6:22" x14ac:dyDescent="0.25">
      <c r="F66" s="66"/>
      <c r="G66" s="66"/>
      <c r="J66" s="66"/>
      <c r="S66" s="110"/>
      <c r="T66" s="109">
        <f>T65/2</f>
        <v>-18857.5</v>
      </c>
      <c r="U66" s="111"/>
    </row>
    <row r="67" spans="6:22" x14ac:dyDescent="0.25">
      <c r="F67" s="66"/>
      <c r="G67" s="66"/>
      <c r="J67" s="66"/>
      <c r="S67" s="110"/>
      <c r="T67" s="109">
        <f>T66+T54</f>
        <v>18857.5</v>
      </c>
      <c r="U67" s="109">
        <f>ROUND(T67,-2)</f>
        <v>18900</v>
      </c>
      <c r="V67" s="68" t="str">
        <f>IF(Q58&gt;0,U67,"0")</f>
        <v>0</v>
      </c>
    </row>
    <row r="69" spans="6:22" x14ac:dyDescent="0.25">
      <c r="F69" s="66"/>
      <c r="G69" s="66"/>
      <c r="J69" s="66"/>
      <c r="M69" s="67" t="s">
        <v>101</v>
      </c>
    </row>
    <row r="70" spans="6:22" x14ac:dyDescent="0.25">
      <c r="F70" s="66"/>
      <c r="G70" s="66"/>
      <c r="J70" s="66"/>
      <c r="P70" s="79">
        <f>E7-E8</f>
        <v>0</v>
      </c>
      <c r="Q70" s="79"/>
      <c r="T70" s="69">
        <f>IF(Q79&gt;(E6/10),Q79,0)</f>
        <v>0</v>
      </c>
    </row>
    <row r="71" spans="6:22" x14ac:dyDescent="0.25">
      <c r="F71" s="66"/>
      <c r="G71" s="66"/>
      <c r="J71" s="66"/>
      <c r="P71" s="79">
        <f>E8-E7</f>
        <v>0</v>
      </c>
      <c r="Q71" s="79"/>
    </row>
    <row r="72" spans="6:22" x14ac:dyDescent="0.25">
      <c r="F72" s="66"/>
      <c r="G72" s="66"/>
      <c r="J72" s="66"/>
      <c r="P72" s="79"/>
      <c r="Q72" s="79"/>
    </row>
    <row r="75" spans="6:22" x14ac:dyDescent="0.25">
      <c r="F75" s="66"/>
      <c r="G75" s="66"/>
      <c r="J75" s="66"/>
      <c r="O75" s="94"/>
      <c r="P75" s="95">
        <f>IF(P70&gt;=0,E6/100000*(P70)*R75,"0")</f>
        <v>0</v>
      </c>
      <c r="Q75" s="95">
        <f>IF(P8&gt;=0,E6/100000*(P8)*R75,"0")</f>
        <v>0</v>
      </c>
      <c r="R75" s="96">
        <v>0.17</v>
      </c>
      <c r="T75" s="69">
        <f>E6/10</f>
        <v>37715</v>
      </c>
    </row>
    <row r="77" spans="6:22" x14ac:dyDescent="0.25">
      <c r="F77" s="66"/>
      <c r="G77" s="66"/>
      <c r="J77" s="66"/>
      <c r="P77" s="66"/>
      <c r="Q77" s="66" t="s">
        <v>72</v>
      </c>
    </row>
    <row r="78" spans="6:22" x14ac:dyDescent="0.25">
      <c r="F78" s="66"/>
      <c r="G78" s="66"/>
      <c r="J78" s="66"/>
      <c r="O78" s="94"/>
      <c r="P78" s="105" t="str">
        <f>IF(E8&lt;=H7,P75,"0")</f>
        <v>0</v>
      </c>
      <c r="Q78" s="106">
        <f>ROUND(P78,-2)</f>
        <v>0</v>
      </c>
    </row>
    <row r="79" spans="6:22" x14ac:dyDescent="0.25">
      <c r="F79" s="66"/>
      <c r="G79" s="66"/>
      <c r="J79" s="66"/>
      <c r="O79" s="94"/>
      <c r="P79" s="105" t="str">
        <f>IF(E8&gt;=(E7*1.100001),Q75,"0")</f>
        <v>0</v>
      </c>
      <c r="Q79" s="106">
        <f>ROUND(P79,-2)</f>
        <v>0</v>
      </c>
      <c r="S79" s="94"/>
      <c r="T79" s="79" t="str">
        <f>P78</f>
        <v>0</v>
      </c>
    </row>
    <row r="80" spans="6:22" x14ac:dyDescent="0.25">
      <c r="F80" s="66"/>
      <c r="G80" s="66"/>
      <c r="J80" s="66"/>
      <c r="T80" s="69">
        <f>P78-T75</f>
        <v>-37715</v>
      </c>
    </row>
    <row r="81" spans="5:22" x14ac:dyDescent="0.25">
      <c r="T81" s="109">
        <f>T80/2</f>
        <v>-18857.5</v>
      </c>
      <c r="U81" s="111"/>
    </row>
    <row r="82" spans="5:22" x14ac:dyDescent="0.25">
      <c r="T82" s="109">
        <f>T81+T75</f>
        <v>18857.5</v>
      </c>
      <c r="U82" s="109">
        <f>ROUND(T82,-2)</f>
        <v>18900</v>
      </c>
      <c r="V82" s="68" t="str">
        <f>IF(Q78&gt;0,U82,"0")</f>
        <v>0</v>
      </c>
    </row>
    <row r="84" spans="5:22" x14ac:dyDescent="0.25">
      <c r="Q84" s="95"/>
      <c r="R84" s="96"/>
    </row>
    <row r="85" spans="5:22" x14ac:dyDescent="0.25">
      <c r="P85" s="110"/>
      <c r="Q85" s="110"/>
      <c r="R85" s="111"/>
      <c r="S85" s="94"/>
      <c r="T85" s="69">
        <f>Q79</f>
        <v>0</v>
      </c>
    </row>
    <row r="86" spans="5:22" x14ac:dyDescent="0.25">
      <c r="P86" s="110"/>
      <c r="Q86" s="110"/>
      <c r="R86" s="111"/>
      <c r="T86" s="69">
        <f>Q79-T75</f>
        <v>-37715</v>
      </c>
    </row>
    <row r="87" spans="5:22" x14ac:dyDescent="0.25">
      <c r="S87" s="110"/>
      <c r="T87" s="109">
        <f>T86/2</f>
        <v>-18857.5</v>
      </c>
      <c r="U87" s="111"/>
    </row>
    <row r="88" spans="5:22" x14ac:dyDescent="0.25">
      <c r="S88" s="110"/>
      <c r="T88" s="109">
        <f>T87+T75</f>
        <v>18857.5</v>
      </c>
      <c r="U88" s="109">
        <f>ROUND(T88,-2)</f>
        <v>18900</v>
      </c>
      <c r="V88" s="68" t="str">
        <f>IF(Q79&gt;0,U88,"0")</f>
        <v>0</v>
      </c>
    </row>
    <row r="91" spans="5:22" x14ac:dyDescent="0.25">
      <c r="K91" s="68"/>
      <c r="M91" s="68"/>
      <c r="N91" s="69"/>
      <c r="P91" s="66"/>
      <c r="Q91" s="66"/>
    </row>
    <row r="92" spans="5:22" x14ac:dyDescent="0.25">
      <c r="F92" s="105"/>
      <c r="G92" s="105"/>
      <c r="H92" s="67"/>
      <c r="K92" s="68"/>
      <c r="M92" s="68"/>
      <c r="N92" s="69"/>
      <c r="P92" s="66"/>
      <c r="Q92" s="66"/>
    </row>
    <row r="93" spans="5:22" x14ac:dyDescent="0.25">
      <c r="E93" s="69">
        <f>E6</f>
        <v>377150</v>
      </c>
      <c r="K93" s="68"/>
      <c r="M93" s="68"/>
      <c r="N93" s="69"/>
      <c r="P93" s="66"/>
      <c r="Q93" s="66"/>
    </row>
    <row r="94" spans="5:22" x14ac:dyDescent="0.25">
      <c r="E94" s="69">
        <f>E7</f>
        <v>14000</v>
      </c>
      <c r="F94" s="79">
        <f>IF(E95&gt;E94,"0",E94-(E94*0.333333))</f>
        <v>9333.3379999999997</v>
      </c>
      <c r="G94" s="79"/>
      <c r="H94" s="79">
        <f>IF(E94&gt;E95,"0",(E94*1.333333))</f>
        <v>18666.662</v>
      </c>
      <c r="K94" s="79">
        <f>E94-E95</f>
        <v>0</v>
      </c>
      <c r="M94" s="68"/>
      <c r="N94" s="69">
        <f>IF(K110&gt;(E93/10),K110,0)</f>
        <v>0</v>
      </c>
      <c r="P94" s="66"/>
      <c r="Q94" s="66"/>
    </row>
    <row r="95" spans="5:22" x14ac:dyDescent="0.25">
      <c r="E95" s="69">
        <f>E8</f>
        <v>14000</v>
      </c>
      <c r="F95" s="79" t="str">
        <f>IF(E94&gt;E95,F94-E95,"0")</f>
        <v>0</v>
      </c>
      <c r="G95" s="79"/>
      <c r="H95" s="79" t="str">
        <f>IF(E95&gt;E94,H94-E95,"0")</f>
        <v>0</v>
      </c>
      <c r="K95" s="79">
        <f>E95-E94</f>
        <v>0</v>
      </c>
      <c r="M95" s="68"/>
      <c r="N95" s="69"/>
      <c r="P95" s="66"/>
      <c r="Q95" s="66"/>
    </row>
    <row r="96" spans="5:22" x14ac:dyDescent="0.25">
      <c r="E96" s="69"/>
      <c r="F96" s="79" t="str">
        <f>IF(E95&gt;E94,E95-E94,"0")</f>
        <v>0</v>
      </c>
      <c r="G96" s="79"/>
      <c r="H96" s="79" t="str">
        <f>IF(E95&gt;E94,E95-H94,"0")</f>
        <v>0</v>
      </c>
      <c r="K96" s="68"/>
      <c r="M96" s="68"/>
      <c r="N96" s="69"/>
      <c r="P96" s="66"/>
      <c r="Q96" s="66"/>
    </row>
    <row r="97" spans="4:16" s="66" customFormat="1" x14ac:dyDescent="0.25">
      <c r="F97" s="79"/>
      <c r="G97" s="79"/>
      <c r="H97" s="79"/>
      <c r="J97" s="126"/>
      <c r="K97" s="68"/>
      <c r="M97" s="68"/>
      <c r="N97" s="69"/>
    </row>
    <row r="98" spans="4:16" s="66" customFormat="1" x14ac:dyDescent="0.25">
      <c r="G98" s="128"/>
      <c r="H98" s="120"/>
      <c r="J98" s="94"/>
      <c r="K98" s="95">
        <f>IF(K94&gt;=0,E93/100000*(K94)*0.17,"0")</f>
        <v>0</v>
      </c>
      <c r="M98" s="68" t="s">
        <v>102</v>
      </c>
      <c r="N98" s="69">
        <f>E93/10</f>
        <v>37715</v>
      </c>
    </row>
    <row r="99" spans="4:16" s="66" customFormat="1" x14ac:dyDescent="0.25">
      <c r="G99" s="128"/>
      <c r="H99" s="120"/>
      <c r="J99" s="94"/>
      <c r="K99" s="95">
        <f>IF(K95&gt;=0,E93/100000*(K95)*0.17,"0")</f>
        <v>0</v>
      </c>
      <c r="M99" s="68"/>
      <c r="N99" s="69"/>
    </row>
    <row r="100" spans="4:16" s="66" customFormat="1" x14ac:dyDescent="0.25">
      <c r="F100" s="120"/>
      <c r="G100" s="120"/>
      <c r="J100" s="126"/>
      <c r="K100" s="68"/>
      <c r="M100" s="68"/>
      <c r="N100" s="69"/>
    </row>
    <row r="101" spans="4:16" s="66" customFormat="1" x14ac:dyDescent="0.25">
      <c r="E101" s="129"/>
      <c r="F101" s="90"/>
      <c r="G101" s="111"/>
      <c r="H101" s="90"/>
      <c r="I101" s="111"/>
      <c r="J101" s="130"/>
      <c r="K101" s="68"/>
      <c r="M101" s="68"/>
      <c r="N101" s="69"/>
    </row>
    <row r="102" spans="4:16" s="66" customFormat="1" x14ac:dyDescent="0.25">
      <c r="E102" s="130"/>
      <c r="F102" s="130"/>
      <c r="G102" s="130"/>
      <c r="H102" s="130"/>
      <c r="I102" s="130"/>
      <c r="J102" s="130"/>
      <c r="K102" s="68"/>
      <c r="M102" s="68" t="s">
        <v>102</v>
      </c>
      <c r="N102" s="79" t="str">
        <f>J109</f>
        <v>0</v>
      </c>
    </row>
    <row r="103" spans="4:16" s="66" customFormat="1" x14ac:dyDescent="0.25">
      <c r="E103" s="109"/>
      <c r="F103" s="109"/>
      <c r="G103" s="109"/>
      <c r="H103" s="109"/>
      <c r="I103" s="109"/>
      <c r="J103" s="130"/>
      <c r="K103" s="68"/>
      <c r="M103" s="68"/>
      <c r="N103" s="69">
        <f>J109-N98</f>
        <v>-37715</v>
      </c>
    </row>
    <row r="104" spans="4:16" s="66" customFormat="1" x14ac:dyDescent="0.25">
      <c r="E104" s="109"/>
      <c r="F104" s="109"/>
      <c r="G104" s="109"/>
      <c r="H104" s="109"/>
      <c r="I104" s="109"/>
      <c r="J104" s="130"/>
      <c r="K104" s="68"/>
      <c r="M104" s="68"/>
      <c r="N104" s="109">
        <f>N103/2</f>
        <v>-18857.5</v>
      </c>
      <c r="O104" s="111"/>
    </row>
    <row r="105" spans="4:16" s="66" customFormat="1" x14ac:dyDescent="0.25">
      <c r="E105" s="109"/>
      <c r="F105" s="109"/>
      <c r="G105" s="109"/>
      <c r="H105" s="109"/>
      <c r="I105" s="109"/>
      <c r="J105" s="130"/>
      <c r="K105" s="68"/>
      <c r="M105" s="68"/>
      <c r="N105" s="109">
        <f>N104+N98</f>
        <v>18857.5</v>
      </c>
      <c r="O105" s="109">
        <f>ROUND(N105,-2)</f>
        <v>18900</v>
      </c>
      <c r="P105" s="68" t="str">
        <f>IF(K109&gt;0,O105,"0")</f>
        <v>0</v>
      </c>
    </row>
    <row r="106" spans="4:16" s="66" customFormat="1" x14ac:dyDescent="0.25">
      <c r="E106" s="109"/>
      <c r="F106" s="109"/>
      <c r="G106" s="109"/>
      <c r="H106" s="109"/>
      <c r="I106" s="109"/>
      <c r="J106" s="130"/>
      <c r="K106" s="68"/>
      <c r="M106" s="68"/>
      <c r="N106" s="69"/>
    </row>
    <row r="107" spans="4:16" s="66" customFormat="1" x14ac:dyDescent="0.25">
      <c r="D107" s="66" t="s">
        <v>103</v>
      </c>
      <c r="E107" s="66">
        <v>0.31</v>
      </c>
      <c r="F107" s="109"/>
      <c r="G107" s="109"/>
      <c r="H107" s="109"/>
      <c r="I107" s="109"/>
      <c r="J107" s="130"/>
      <c r="K107" s="68"/>
      <c r="M107" s="68"/>
      <c r="N107" s="69"/>
    </row>
    <row r="108" spans="4:16" s="66" customFormat="1" x14ac:dyDescent="0.25">
      <c r="D108" s="66" t="s">
        <v>104</v>
      </c>
      <c r="E108" s="66">
        <v>0.22</v>
      </c>
      <c r="F108" s="109"/>
      <c r="G108" s="109"/>
      <c r="H108" s="109"/>
      <c r="I108" s="109"/>
      <c r="J108" s="130"/>
      <c r="K108" s="110"/>
      <c r="L108" s="111"/>
      <c r="M108" s="68" t="s">
        <v>102</v>
      </c>
      <c r="N108" s="69">
        <f>K110</f>
        <v>0</v>
      </c>
    </row>
    <row r="109" spans="4:16" s="66" customFormat="1" x14ac:dyDescent="0.25">
      <c r="D109" s="66" t="s">
        <v>105</v>
      </c>
      <c r="E109" s="96">
        <v>0.2</v>
      </c>
      <c r="F109" s="109"/>
      <c r="G109" s="109"/>
      <c r="H109" s="109"/>
      <c r="I109" s="109"/>
      <c r="J109" s="131" t="str">
        <f>IF(E95&lt;=F94,K98,"0")</f>
        <v>0</v>
      </c>
      <c r="K109" s="106">
        <f>ROUND(J109,-2)</f>
        <v>0</v>
      </c>
      <c r="L109" s="111"/>
      <c r="M109" s="68"/>
      <c r="N109" s="69">
        <f>K110-N98</f>
        <v>-37715</v>
      </c>
    </row>
    <row r="110" spans="4:16" s="66" customFormat="1" x14ac:dyDescent="0.25">
      <c r="D110" s="66" t="s">
        <v>106</v>
      </c>
      <c r="E110" s="66">
        <v>0.17</v>
      </c>
      <c r="F110" s="109"/>
      <c r="G110" s="109"/>
      <c r="H110" s="109"/>
      <c r="I110" s="109"/>
      <c r="J110" s="131" t="str">
        <f>IF(E95&gt;=(E94*1.333333),K99,"0")</f>
        <v>0</v>
      </c>
      <c r="K110" s="106">
        <f>ROUND(J110,-2)</f>
        <v>0</v>
      </c>
      <c r="M110" s="110"/>
      <c r="N110" s="109">
        <f>N109/2</f>
        <v>-18857.5</v>
      </c>
      <c r="O110" s="111"/>
    </row>
    <row r="111" spans="4:16" s="66" customFormat="1" x14ac:dyDescent="0.25">
      <c r="E111" s="109"/>
      <c r="F111" s="109"/>
      <c r="G111" s="109"/>
      <c r="H111" s="109"/>
      <c r="I111" s="109"/>
      <c r="J111" s="130"/>
      <c r="K111" s="68"/>
      <c r="M111" s="110"/>
      <c r="N111" s="109">
        <f>N110+N98</f>
        <v>18857.5</v>
      </c>
      <c r="O111" s="109">
        <f>ROUND(N111,-2)</f>
        <v>18900</v>
      </c>
      <c r="P111" s="68" t="str">
        <f>IF(K110&gt;0,O111,"0")</f>
        <v>0</v>
      </c>
    </row>
    <row r="112" spans="4:16" s="66" customFormat="1" x14ac:dyDescent="0.25">
      <c r="E112" s="109"/>
      <c r="F112" s="109"/>
      <c r="G112" s="109"/>
      <c r="H112" s="109"/>
      <c r="I112" s="109"/>
      <c r="J112" s="130"/>
      <c r="K112" s="68"/>
      <c r="M112" s="68"/>
      <c r="N112" s="69"/>
    </row>
    <row r="113" spans="5:14" s="66" customFormat="1" x14ac:dyDescent="0.25">
      <c r="E113" s="109"/>
      <c r="F113" s="109"/>
      <c r="G113" s="109"/>
      <c r="H113" s="109"/>
      <c r="I113" s="109"/>
      <c r="J113" s="130"/>
      <c r="K113" s="68"/>
      <c r="M113" s="68"/>
      <c r="N113" s="69"/>
    </row>
    <row r="114" spans="5:14" s="66" customFormat="1" x14ac:dyDescent="0.25">
      <c r="E114" s="109"/>
      <c r="F114" s="109"/>
      <c r="G114" s="109"/>
      <c r="H114" s="109"/>
      <c r="I114" s="109"/>
      <c r="J114" s="130"/>
      <c r="K114" s="68"/>
      <c r="M114" s="68"/>
      <c r="N114" s="69"/>
    </row>
    <row r="115" spans="5:14" s="66" customFormat="1" x14ac:dyDescent="0.25">
      <c r="E115" s="109"/>
      <c r="F115" s="109"/>
      <c r="G115" s="109"/>
      <c r="H115" s="109"/>
      <c r="I115" s="109"/>
      <c r="J115" s="130"/>
      <c r="K115" s="68"/>
      <c r="M115" s="68"/>
      <c r="N115" s="69"/>
    </row>
  </sheetData>
  <sheetProtection password="CF1B"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1"/>
  <sheetViews>
    <sheetView tabSelected="1" zoomScaleNormal="100" workbookViewId="0">
      <selection activeCell="B7" sqref="B7"/>
    </sheetView>
  </sheetViews>
  <sheetFormatPr defaultColWidth="9.140625" defaultRowHeight="15" x14ac:dyDescent="0.25"/>
  <cols>
    <col min="1" max="1" width="36.5703125" style="5" customWidth="1"/>
    <col min="2" max="2" width="24.140625" style="5" customWidth="1"/>
    <col min="3" max="3" width="23.5703125" style="5" customWidth="1"/>
    <col min="4" max="4" width="8.28515625" style="12" customWidth="1"/>
    <col min="5" max="5" width="36.85546875" style="4" bestFit="1" customWidth="1"/>
    <col min="6" max="6" width="21.5703125" style="4" customWidth="1"/>
    <col min="7" max="7" width="29.140625" style="4" customWidth="1"/>
    <col min="8" max="8" width="15.7109375" style="4" bestFit="1" customWidth="1"/>
    <col min="9" max="9" width="9.140625" style="4"/>
    <col min="10" max="16384" width="9.140625" style="5"/>
  </cols>
  <sheetData>
    <row r="1" spans="1:10" ht="18.95" customHeight="1" x14ac:dyDescent="0.3">
      <c r="A1" s="52" t="s">
        <v>0</v>
      </c>
      <c r="B1" s="6"/>
      <c r="C1" s="6"/>
      <c r="D1" s="7"/>
    </row>
    <row r="2" spans="1:10" x14ac:dyDescent="0.25">
      <c r="A2" s="53" t="s">
        <v>11</v>
      </c>
      <c r="B2" s="8"/>
      <c r="C2" s="8"/>
      <c r="D2" s="9"/>
    </row>
    <row r="3" spans="1:10" x14ac:dyDescent="0.25">
      <c r="A3" s="49" t="s">
        <v>45</v>
      </c>
      <c r="B3" s="10">
        <v>2016</v>
      </c>
      <c r="C3" s="8"/>
      <c r="D3" s="9"/>
    </row>
    <row r="4" spans="1:10" x14ac:dyDescent="0.25">
      <c r="A4" s="50" t="s">
        <v>28</v>
      </c>
      <c r="B4" s="1" t="s">
        <v>30</v>
      </c>
      <c r="C4" s="8"/>
      <c r="D4" s="9"/>
      <c r="E4" s="30" t="s">
        <v>4</v>
      </c>
      <c r="F4" s="37" t="s">
        <v>2</v>
      </c>
      <c r="G4" s="37" t="s">
        <v>3</v>
      </c>
    </row>
    <row r="5" spans="1:10" x14ac:dyDescent="0.25">
      <c r="A5" s="38" t="s">
        <v>16</v>
      </c>
      <c r="B5" s="3">
        <v>397000</v>
      </c>
      <c r="C5" s="11"/>
      <c r="D5" s="9"/>
      <c r="E5" s="38" t="s">
        <v>12</v>
      </c>
      <c r="F5" s="39">
        <f>-IF(B7="Benzin",IF(B8&gt;16,(B8-16)*4000,-(16-B8)*1000),0)</f>
        <v>0</v>
      </c>
      <c r="G5" s="40">
        <f>IFERROR(-IF(B7="Benzin",IF(B8&gt;16,(B8-16)*4000,-(16-B8)*1000),0)*(B5/B6),0)</f>
        <v>0</v>
      </c>
    </row>
    <row r="6" spans="1:10" x14ac:dyDescent="0.25">
      <c r="A6" s="38" t="s">
        <v>1</v>
      </c>
      <c r="B6" s="3">
        <v>397000</v>
      </c>
      <c r="E6" s="38" t="s">
        <v>13</v>
      </c>
      <c r="F6" s="39">
        <f>-IF(B7="Diesel",IF(B8&gt;18,(B8-18)*4000,(-18+B8)*1000),0)</f>
        <v>-18799.999999999996</v>
      </c>
      <c r="G6" s="40">
        <f>IFERROR(-IF(B7="Diesel",IF(B8&gt;18,(B8-18)*4000,(-18+B8)*1000),0)*(B5/B6),0)</f>
        <v>-18799.999999999996</v>
      </c>
      <c r="H6" s="13"/>
    </row>
    <row r="7" spans="1:10" x14ac:dyDescent="0.25">
      <c r="A7" s="42" t="s">
        <v>17</v>
      </c>
      <c r="B7" s="2" t="s">
        <v>18</v>
      </c>
      <c r="C7" s="8"/>
      <c r="D7" s="9"/>
      <c r="E7" s="38" t="s">
        <v>5</v>
      </c>
      <c r="F7" s="40">
        <f>-B10*200</f>
        <v>-600</v>
      </c>
      <c r="G7" s="40">
        <f>IFERROR(-B10*200*(B5/B6),0)</f>
        <v>-600</v>
      </c>
      <c r="H7" s="13"/>
    </row>
    <row r="8" spans="1:10" x14ac:dyDescent="0.25">
      <c r="A8" s="42" t="s">
        <v>42</v>
      </c>
      <c r="B8" s="1">
        <v>22.7</v>
      </c>
      <c r="D8" s="9"/>
      <c r="E8" s="30" t="s">
        <v>10</v>
      </c>
      <c r="F8" s="41">
        <f>SUM(F5:F7)</f>
        <v>-19399.999999999996</v>
      </c>
      <c r="G8" s="41">
        <f>SUM(G5:G7)</f>
        <v>-19399.999999999996</v>
      </c>
      <c r="H8" s="13"/>
      <c r="J8" s="14"/>
    </row>
    <row r="9" spans="1:10" x14ac:dyDescent="0.25">
      <c r="A9" s="51" t="s">
        <v>36</v>
      </c>
      <c r="B9" s="1">
        <v>6</v>
      </c>
      <c r="C9" s="6" t="s">
        <v>31</v>
      </c>
      <c r="D9" s="9"/>
      <c r="E9" s="8"/>
      <c r="F9" s="8"/>
      <c r="G9" s="8"/>
    </row>
    <row r="10" spans="1:10" x14ac:dyDescent="0.25">
      <c r="A10" s="42" t="s">
        <v>41</v>
      </c>
      <c r="B10" s="1">
        <v>3</v>
      </c>
      <c r="C10" s="6" t="s">
        <v>32</v>
      </c>
      <c r="D10" s="9"/>
      <c r="E10" s="30" t="s">
        <v>6</v>
      </c>
      <c r="F10" s="37" t="s">
        <v>2</v>
      </c>
      <c r="G10" s="37" t="s">
        <v>3</v>
      </c>
    </row>
    <row r="11" spans="1:10" x14ac:dyDescent="0.25">
      <c r="A11" s="42" t="s">
        <v>19</v>
      </c>
      <c r="B11" s="1">
        <v>0</v>
      </c>
      <c r="C11" s="8"/>
      <c r="D11" s="9"/>
      <c r="E11" s="42" t="s">
        <v>20</v>
      </c>
      <c r="F11" s="33">
        <f>IF(B12="ja",-3750,0)</f>
        <v>-3750</v>
      </c>
      <c r="G11" s="40">
        <f>IFERROR(IF(B12="ja",-3750,0)*(B5/B6),0)</f>
        <v>-3750</v>
      </c>
    </row>
    <row r="12" spans="1:10" x14ac:dyDescent="0.25">
      <c r="A12" s="42" t="s">
        <v>20</v>
      </c>
      <c r="B12" s="1" t="s">
        <v>9</v>
      </c>
      <c r="C12" s="8"/>
      <c r="D12" s="15"/>
      <c r="E12" s="42" t="s">
        <v>21</v>
      </c>
      <c r="F12" s="33">
        <f>IF(B13="ja",-2500,0)</f>
        <v>-2500</v>
      </c>
      <c r="G12" s="40">
        <f>IFERROR(IF(B13="ja",-2500,0)*(B5/B6),0)</f>
        <v>-2500</v>
      </c>
    </row>
    <row r="13" spans="1:10" x14ac:dyDescent="0.25">
      <c r="A13" s="42" t="s">
        <v>21</v>
      </c>
      <c r="B13" s="1" t="s">
        <v>9</v>
      </c>
      <c r="C13" s="8"/>
      <c r="D13" s="9"/>
      <c r="E13" s="42" t="s">
        <v>22</v>
      </c>
      <c r="F13" s="33">
        <f>IF(B14="ja",-2000,0)</f>
        <v>-2000</v>
      </c>
      <c r="G13" s="40">
        <f>IFERROR(IF(B14="ja",-2000,0)*(B5/B6),0)</f>
        <v>-2000</v>
      </c>
    </row>
    <row r="14" spans="1:10" x14ac:dyDescent="0.25">
      <c r="A14" s="42" t="s">
        <v>22</v>
      </c>
      <c r="B14" s="1" t="s">
        <v>9</v>
      </c>
      <c r="C14" s="8"/>
      <c r="D14" s="9"/>
      <c r="E14" s="43" t="s">
        <v>23</v>
      </c>
      <c r="F14" s="33">
        <f>IF(B3=2016,IF(B15="ja",-400,0),0)</f>
        <v>0</v>
      </c>
      <c r="G14" s="40">
        <f>IF(B3=2016,IF(B15="ja",-400,0),0)</f>
        <v>0</v>
      </c>
      <c r="H14" s="16"/>
    </row>
    <row r="15" spans="1:10" x14ac:dyDescent="0.25">
      <c r="A15" s="42" t="s">
        <v>23</v>
      </c>
      <c r="B15" s="1" t="s">
        <v>27</v>
      </c>
      <c r="C15" s="6" t="s">
        <v>44</v>
      </c>
      <c r="D15" s="9"/>
      <c r="E15" s="44" t="s">
        <v>7</v>
      </c>
      <c r="F15" s="40">
        <f>B11*-6000</f>
        <v>0</v>
      </c>
      <c r="G15" s="40">
        <f>IFERROR(B11*-6000*(B5/B6),0)</f>
        <v>0</v>
      </c>
    </row>
    <row r="16" spans="1:10" x14ac:dyDescent="0.25">
      <c r="A16" s="30" t="s">
        <v>33</v>
      </c>
      <c r="B16" s="1" t="s">
        <v>9</v>
      </c>
      <c r="C16" s="8"/>
      <c r="D16" s="9"/>
      <c r="E16" s="45" t="s">
        <v>14</v>
      </c>
      <c r="F16" s="40">
        <f>-IF(B9&gt;=2,(B9*1280)-2560,0)</f>
        <v>-5120</v>
      </c>
      <c r="G16" s="40">
        <f>IFERROR(-IF(B9&gt;=2,(B9*1280)-2560,0)*(B5/B6),0)</f>
        <v>-5120</v>
      </c>
    </row>
    <row r="17" spans="1:10" x14ac:dyDescent="0.25">
      <c r="D17" s="9"/>
      <c r="E17" s="45" t="s">
        <v>15</v>
      </c>
      <c r="F17" s="40">
        <f>IF(B9=0,7450,IF(B9&lt;2,B9*3725,0))</f>
        <v>0</v>
      </c>
      <c r="G17" s="40">
        <f>IFERROR(IF(B9=0,7450,IF(B9&lt;2,B9*3725,0))*B5/B6,0)</f>
        <v>0</v>
      </c>
    </row>
    <row r="18" spans="1:10" ht="15" customHeight="1" x14ac:dyDescent="0.25">
      <c r="A18" s="30" t="s">
        <v>8</v>
      </c>
      <c r="B18" s="31" t="s">
        <v>39</v>
      </c>
      <c r="C18" s="31" t="s">
        <v>40</v>
      </c>
      <c r="E18" s="30" t="s">
        <v>10</v>
      </c>
      <c r="F18" s="41">
        <f>SUM(F11:F17)</f>
        <v>-13370</v>
      </c>
      <c r="G18" s="46">
        <f>IFERROR(SUM(G11:G17),0)</f>
        <v>-13370</v>
      </c>
      <c r="H18" s="17"/>
      <c r="J18" s="4"/>
    </row>
    <row r="19" spans="1:10" s="62" customFormat="1" ht="32.25" hidden="1" customHeight="1" x14ac:dyDescent="0.25">
      <c r="A19" s="56" t="s">
        <v>49</v>
      </c>
      <c r="B19" s="57"/>
      <c r="C19" s="58">
        <f>IF(B5-IF(IF((B5+G18-G8)&gt;G24*2.05,(((B5+G18-G8)-G24*2.05)/(2.5))*1.5+G24*1.05+G8,((B5+G18-G8)/(2.05))*1.05+G8)&gt;20000*B5/B6,IF((B5+G18-G8)&gt;G24*2.05,(((B5+G18-G8)-G24*2.05)/(2.5))*1.5+G24*1.05+G8,((B5+G18-G8)/(2.05))*1.05+G8), 20000*B5/B6+G7)&gt;B21,B5-IF(B5&gt;=(F24+G18-G8)*2.05,IF(B5&gt;=(G24+G18-G8)*2.05,(G24-F24)*(1.5-1.05),(B5/2.05-F24-G18+G8)*(1.5-1.05)),0),B5-IF(IF((B5+G18-G8)&gt;G24*2.05,(((B5+G18-G8)-G24*2.05)/(2.5))*1.5+G24*1.05+G8,((B5+G18-G8)/(2.05))*1.05+G8)&gt;20000*B5/B6,IF((B5+G18-G8)&gt;G24*2.05,(((B5+G18-G8)-G24*2.05)/(2.5))*1.5+G24*1.05+G8,((B5+G18-G8)/(2.05))*1.05+G8), 20000*B5/B6+G7))</f>
        <v>387325</v>
      </c>
      <c r="D19" s="59"/>
      <c r="E19" s="60"/>
      <c r="F19" s="60"/>
      <c r="G19" s="60"/>
      <c r="H19" s="61"/>
      <c r="I19" s="60"/>
      <c r="J19" s="60"/>
    </row>
    <row r="20" spans="1:10" s="62" customFormat="1" ht="32.25" hidden="1" customHeight="1" x14ac:dyDescent="0.25">
      <c r="A20" s="56" t="s">
        <v>48</v>
      </c>
      <c r="B20" s="57"/>
      <c r="C20" s="58">
        <f>IF(B5-IF(IF((B5+G18-G8)&gt;G24*2.05,(((B5+G18-G8)-G24*2.05)/(2.5))*1.5+G24*1.05+G8,((B5+G18-G8)/(2.05))*1.05+G8)&gt;20000*B5/B6,IF((B5+G18-G8)&gt;G24*2.05,(((B5+G18-G8)-G24*2.05)/(2.5))*1.5+G24*1.05+G8,((B5+G18-G8)/(2.05))*1.05+G8), 20000*B5/B6+G7)&gt;B21,B6-IF(B6&gt;=(F23+F18-F8)*2.05,IF(B6&gt;=(G23+F18-F8)*2.05,(G23-F23)*(1.5-1.05),(B5/2.05-F23-F18+F8)*(1.5-1.05)),0),B6)</f>
        <v>387325</v>
      </c>
      <c r="D20" s="59"/>
      <c r="E20" s="60"/>
      <c r="F20" s="60"/>
      <c r="G20" s="60"/>
      <c r="H20" s="61"/>
      <c r="I20" s="60"/>
      <c r="J20" s="60"/>
    </row>
    <row r="21" spans="1:10" x14ac:dyDescent="0.25">
      <c r="A21" s="32" t="s">
        <v>26</v>
      </c>
      <c r="B21" s="33">
        <f>IFERROR(IF(AND(B5&lt;&gt;"",B5-B22+G18&gt;0),B5-B22+G18,0),0)</f>
        <v>176115.99999999997</v>
      </c>
      <c r="C21" s="33">
        <f>IFERROR(IF(AND(C19&lt;&gt;"",C19-C22+G18&gt;0),C19-C22+G18,0),0)</f>
        <v>176115.99999999997</v>
      </c>
      <c r="E21" s="18"/>
      <c r="F21" s="18"/>
      <c r="G21" s="17"/>
      <c r="H21" s="19"/>
      <c r="J21" s="4"/>
    </row>
    <row r="22" spans="1:10" x14ac:dyDescent="0.25">
      <c r="A22" s="34" t="s">
        <v>25</v>
      </c>
      <c r="B22" s="33">
        <f>IFERROR(IF(IF((B5+G18-G8)&gt;F24*2.05,(((B5+G18-G8)-F24*2.05)/(2.5))*1.5+F24*1.05+G8,((B5+G18-G8)/(2.05))*1.05+G8)&gt;20000*B5/B6,IF((B5+G18-G8)&gt;F24*2.05,(((B5+G18-G8)-F24*2.05)/(2.5))*1.5+F24*1.05+G8,((B5+G18-G8)/(2.05))*1.05+G8), 20000*B5/B6+G7),0)</f>
        <v>207514.00000000003</v>
      </c>
      <c r="C22" s="33">
        <f>IFERROR(IF(IF((C19+G18-G8)&gt;G24*2.05,(((C19+G18-G8)-G24*2.05)/(2.5))*1.5+G24*1.05+G8,((C19+G18-G8)/(2.05))*1.05+G8)&gt;20000*C19/B6,IF((C19+G18-G8)&gt;G24*2.05,(((C19+G18-G8)-G24*2.05)/(2.5))*1.5+G24*1.05+G8,((C19+G18-G8)/(2.05))*1.05+G8), 20000*C19/B6+G7),0)</f>
        <v>197839.00000000003</v>
      </c>
      <c r="E22" s="20"/>
      <c r="F22" s="31" t="s">
        <v>39</v>
      </c>
      <c r="G22" s="31" t="str">
        <f>CONCATENATE("Efter afgiftsnedsættelse"," (",B3,")")</f>
        <v>Efter afgiftsnedsættelse (2016)</v>
      </c>
      <c r="H22" s="21"/>
      <c r="J22" s="4"/>
    </row>
    <row r="23" spans="1:10" x14ac:dyDescent="0.25">
      <c r="A23" s="35" t="s">
        <v>33</v>
      </c>
      <c r="B23" s="33">
        <f>IF(B16="Ja",IF(B4="Eksport",300,-60),0)</f>
        <v>-60</v>
      </c>
      <c r="C23" s="33">
        <f>IF(B16="Ja",IF(B4="Eksport",300,-60),0)</f>
        <v>-60</v>
      </c>
      <c r="E23" s="48" t="s">
        <v>37</v>
      </c>
      <c r="F23" s="40">
        <v>82800</v>
      </c>
      <c r="G23" s="47">
        <f>IF(B3=2016,104300,106600)</f>
        <v>104300</v>
      </c>
      <c r="H23" s="21"/>
      <c r="J23" s="4"/>
    </row>
    <row r="24" spans="1:10" ht="15" customHeight="1" x14ac:dyDescent="0.25">
      <c r="A24" s="22"/>
      <c r="B24" s="23"/>
      <c r="C24" s="23"/>
      <c r="E24" s="38" t="s">
        <v>38</v>
      </c>
      <c r="F24" s="40">
        <f>IFERROR(F23*(B5/B6),0)</f>
        <v>82800</v>
      </c>
      <c r="G24" s="40">
        <f>IFERROR(G23*(B5/B6),0)</f>
        <v>104300</v>
      </c>
      <c r="H24" s="24"/>
      <c r="J24" s="4"/>
    </row>
    <row r="25" spans="1:10" s="4" customFormat="1" ht="15" customHeight="1" x14ac:dyDescent="0.25">
      <c r="A25" s="36" t="s">
        <v>43</v>
      </c>
      <c r="B25" s="33">
        <f>IF(B4="Import",B22+B23,"")</f>
        <v>207454.00000000003</v>
      </c>
      <c r="C25" s="132">
        <f>IF(B4="Import",C22+C23,"")</f>
        <v>197779.00000000003</v>
      </c>
      <c r="D25" s="25"/>
      <c r="E25" s="26"/>
      <c r="F25" s="27"/>
      <c r="G25" s="21"/>
      <c r="H25" s="24"/>
    </row>
    <row r="26" spans="1:10" ht="29.25" customHeight="1" x14ac:dyDescent="0.25">
      <c r="A26" s="55" t="s">
        <v>46</v>
      </c>
      <c r="B26" s="33">
        <f>IF(OR(B25="",C25=""),"",B25-C25)</f>
        <v>9675</v>
      </c>
      <c r="C26" s="33"/>
      <c r="D26" s="9"/>
      <c r="E26" s="25"/>
      <c r="J26" s="4"/>
    </row>
    <row r="27" spans="1:10" ht="15" customHeight="1" x14ac:dyDescent="0.25">
      <c r="A27" s="28"/>
      <c r="B27" s="25"/>
      <c r="C27" s="25"/>
      <c r="G27" s="23"/>
      <c r="H27" s="23"/>
      <c r="I27" s="23"/>
      <c r="J27" s="23"/>
    </row>
    <row r="28" spans="1:10" s="4" customFormat="1" ht="15" customHeight="1" x14ac:dyDescent="0.25">
      <c r="A28" s="35" t="s">
        <v>34</v>
      </c>
      <c r="B28" s="33" t="str">
        <f>IF(B4="Import","",IF(B22*0.15&gt;8500,B22*0.15,8500))</f>
        <v/>
      </c>
      <c r="C28" s="33" t="str">
        <f>IF(B4="Import","",IF(C22*0.15&gt;8500,C22*0.15,8500))</f>
        <v/>
      </c>
      <c r="D28" s="25"/>
      <c r="H28" s="23"/>
    </row>
    <row r="29" spans="1:10" ht="15" customHeight="1" x14ac:dyDescent="0.25">
      <c r="A29" s="35" t="s">
        <v>35</v>
      </c>
      <c r="B29" s="33" t="str">
        <f>IF(B4="Eksport",B22-B28+B23,"")</f>
        <v/>
      </c>
      <c r="C29" s="33" t="str">
        <f>IF(B4="Eksport",C22-C28+C23,"")</f>
        <v/>
      </c>
      <c r="F29" s="28"/>
      <c r="G29" s="28"/>
      <c r="H29" s="22"/>
      <c r="J29" s="4"/>
    </row>
    <row r="30" spans="1:10" ht="30" x14ac:dyDescent="0.25">
      <c r="A30" s="55" t="s">
        <v>47</v>
      </c>
      <c r="B30" s="33" t="str">
        <f>IF(B4="eksport",B29-C29,"")</f>
        <v/>
      </c>
      <c r="C30" s="33"/>
      <c r="D30" s="5"/>
      <c r="E30" s="54"/>
      <c r="F30" s="13"/>
      <c r="G30" s="13"/>
      <c r="J30" s="4"/>
    </row>
    <row r="31" spans="1:10" x14ac:dyDescent="0.25">
      <c r="E31" s="54"/>
      <c r="F31" s="13"/>
      <c r="G31" s="13"/>
      <c r="J31" s="4"/>
    </row>
    <row r="32" spans="1:10" x14ac:dyDescent="0.25">
      <c r="B32" s="29"/>
      <c r="E32" s="28"/>
      <c r="F32" s="13"/>
      <c r="G32" s="13"/>
      <c r="H32" s="13"/>
    </row>
    <row r="33" spans="2:8" x14ac:dyDescent="0.25">
      <c r="E33" s="28"/>
      <c r="F33" s="13"/>
      <c r="G33" s="13"/>
      <c r="H33" s="13"/>
    </row>
    <row r="34" spans="2:8" x14ac:dyDescent="0.25">
      <c r="E34" s="23"/>
    </row>
    <row r="35" spans="2:8" x14ac:dyDescent="0.25">
      <c r="B35" s="29"/>
      <c r="E35" s="23"/>
    </row>
    <row r="36" spans="2:8" x14ac:dyDescent="0.25">
      <c r="B36" s="29"/>
      <c r="E36" s="23"/>
    </row>
    <row r="37" spans="2:8" x14ac:dyDescent="0.25">
      <c r="E37" s="23"/>
    </row>
    <row r="38" spans="2:8" x14ac:dyDescent="0.25">
      <c r="E38" s="23"/>
    </row>
    <row r="40" spans="2:8" x14ac:dyDescent="0.25">
      <c r="B40" s="29"/>
      <c r="C40" s="29"/>
      <c r="D40" s="29"/>
    </row>
    <row r="41" spans="2:8" x14ac:dyDescent="0.25">
      <c r="B41" s="12"/>
      <c r="C41" s="12"/>
      <c r="G41" s="8"/>
    </row>
  </sheetData>
  <sheetProtection algorithmName="SHA-512" hashValue="UNpay306A71TnzmLw+gS205hWlIvQbBrxDyd1iGX92wncovO1whzd1PtqlCzTK5KVviAUSWiIjrV1iHuPD4eww==" saltValue="kp898x3OaGoFois/dDIAOg==" spinCount="100000" sheet="1" formatCells="0" formatColumns="0" formatRows="0" insertColumns="0" insertRows="0" insertHyperlinks="0" deleteColumns="0" deleteRows="0" sort="0" autoFilter="0" pivotTables="0"/>
  <dataValidations count="6">
    <dataValidation type="list" allowBlank="1" showInputMessage="1" showErrorMessage="1" sqref="B12:B16" xr:uid="{00000000-0002-0000-0100-000000000000}">
      <formula1>Ja</formula1>
    </dataValidation>
    <dataValidation type="list" allowBlank="1" showInputMessage="1" showErrorMessage="1" sqref="B7" xr:uid="{00000000-0002-0000-0100-000001000000}">
      <formula1>Brand</formula1>
    </dataValidation>
    <dataValidation type="list" allowBlank="1" showInputMessage="1" showErrorMessage="1" sqref="B9 B11" xr:uid="{00000000-0002-0000-0100-000002000000}">
      <formula1>aa</formula1>
    </dataValidation>
    <dataValidation type="list" allowBlank="1" showInputMessage="1" showErrorMessage="1" sqref="B4" xr:uid="{00000000-0002-0000-0100-000003000000}">
      <formula1>Import</formula1>
    </dataValidation>
    <dataValidation type="list" allowBlank="1" showInputMessage="1" showErrorMessage="1" sqref="B10" xr:uid="{00000000-0002-0000-0100-000004000000}">
      <formula1>Sele</formula1>
    </dataValidation>
    <dataValidation type="list" allowBlank="1" showInputMessage="1" showErrorMessage="1" sqref="B3" xr:uid="{00000000-0002-0000-0100-000005000000}">
      <formula1>"2016,2017"</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
  <sheetViews>
    <sheetView workbookViewId="0">
      <selection activeCell="I1" sqref="I1:I4"/>
    </sheetView>
  </sheetViews>
  <sheetFormatPr defaultRowHeight="15" x14ac:dyDescent="0.25"/>
  <sheetData>
    <row r="1" spans="1:10" x14ac:dyDescent="0.25">
      <c r="A1" t="s">
        <v>24</v>
      </c>
      <c r="C1" t="s">
        <v>29</v>
      </c>
      <c r="D1">
        <v>1</v>
      </c>
      <c r="G1">
        <v>0</v>
      </c>
      <c r="I1">
        <v>0</v>
      </c>
      <c r="J1" t="s">
        <v>9</v>
      </c>
    </row>
    <row r="2" spans="1:10" x14ac:dyDescent="0.25">
      <c r="A2" t="s">
        <v>18</v>
      </c>
      <c r="C2" t="s">
        <v>30</v>
      </c>
      <c r="D2">
        <v>2</v>
      </c>
      <c r="G2">
        <v>1</v>
      </c>
      <c r="I2">
        <v>1</v>
      </c>
      <c r="J2" t="s">
        <v>27</v>
      </c>
    </row>
    <row r="3" spans="1:10" x14ac:dyDescent="0.25">
      <c r="D3">
        <v>3</v>
      </c>
      <c r="G3">
        <v>2</v>
      </c>
      <c r="I3">
        <v>2</v>
      </c>
    </row>
    <row r="4" spans="1:10" x14ac:dyDescent="0.25">
      <c r="D4">
        <v>4</v>
      </c>
      <c r="G4">
        <v>3</v>
      </c>
      <c r="I4">
        <v>3</v>
      </c>
    </row>
    <row r="5" spans="1:10" x14ac:dyDescent="0.25">
      <c r="D5">
        <v>5</v>
      </c>
      <c r="G5">
        <v>4</v>
      </c>
    </row>
    <row r="6" spans="1:10" x14ac:dyDescent="0.25">
      <c r="D6">
        <v>6</v>
      </c>
      <c r="G6">
        <v>5</v>
      </c>
    </row>
    <row r="7" spans="1:10" x14ac:dyDescent="0.25">
      <c r="G7">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7</vt:i4>
      </vt:variant>
    </vt:vector>
  </HeadingPairs>
  <TitlesOfParts>
    <vt:vector size="10" baseType="lpstr">
      <vt:lpstr>KM beregning</vt:lpstr>
      <vt:lpstr>Afgiftsberegning NY AFG</vt:lpstr>
      <vt:lpstr>Ark2</vt:lpstr>
      <vt:lpstr>Air</vt:lpstr>
      <vt:lpstr>Antal1</vt:lpstr>
      <vt:lpstr>Brand</vt:lpstr>
      <vt:lpstr>Import</vt:lpstr>
      <vt:lpstr>Ja</vt:lpstr>
      <vt:lpstr>Sele</vt:lpstr>
      <vt:lpstr>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dc:creator>
  <cp:lastModifiedBy>Marianne Engquist</cp:lastModifiedBy>
  <dcterms:created xsi:type="dcterms:W3CDTF">2013-03-13T16:51:30Z</dcterms:created>
  <dcterms:modified xsi:type="dcterms:W3CDTF">2018-10-12T09:46:55Z</dcterms:modified>
</cp:coreProperties>
</file>